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Краткосрочка 2016\КрП 2016г\Сметы на ПИР по районам\Волховский\"/>
    </mc:Choice>
  </mc:AlternateContent>
  <bookViews>
    <workbookView xWindow="1935" yWindow="555" windowWidth="10725" windowHeight="11025"/>
  </bookViews>
  <sheets>
    <sheet name="Форма 2п" sheetId="3" r:id="rId1"/>
    <sheet name="SMW_Служебная" sheetId="2" state="hidden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82" i="3" l="1"/>
  <c r="M180" i="3"/>
  <c r="M178" i="3"/>
  <c r="M176" i="3"/>
  <c r="Q175" i="3" s="1"/>
  <c r="Q217" i="3" s="1"/>
  <c r="M276" i="3"/>
  <c r="Q275" i="3"/>
  <c r="M274" i="3"/>
  <c r="Q273" i="3"/>
  <c r="Q277" i="3" s="1"/>
  <c r="M270" i="3"/>
  <c r="Q269" i="3"/>
  <c r="M256" i="3"/>
  <c r="Q255" i="3"/>
  <c r="M234" i="3"/>
  <c r="Q233" i="3"/>
  <c r="M216" i="3"/>
  <c r="Q215" i="3"/>
  <c r="M122" i="3"/>
  <c r="Q121" i="3"/>
  <c r="M266" i="3"/>
  <c r="Q265" i="3" s="1"/>
  <c r="M264" i="3"/>
  <c r="Q263" i="3" s="1"/>
  <c r="M262" i="3"/>
  <c r="Q261" i="3" s="1"/>
  <c r="M268" i="3"/>
  <c r="Q267" i="3" s="1"/>
  <c r="M260" i="3"/>
  <c r="Q259" i="3" s="1"/>
  <c r="M254" i="3"/>
  <c r="Q253" i="3"/>
  <c r="M252" i="3"/>
  <c r="Q251" i="3"/>
  <c r="M250" i="3"/>
  <c r="Q249" i="3"/>
  <c r="M248" i="3"/>
  <c r="Q247" i="3"/>
  <c r="M232" i="3"/>
  <c r="Q231" i="3"/>
  <c r="M246" i="3"/>
  <c r="Q245" i="3"/>
  <c r="M240" i="3"/>
  <c r="Q239" i="3"/>
  <c r="M244" i="3"/>
  <c r="Q243" i="3"/>
  <c r="M242" i="3"/>
  <c r="Q241" i="3"/>
  <c r="M238" i="3"/>
  <c r="Q237" i="3"/>
  <c r="M230" i="3"/>
  <c r="Q229" i="3"/>
  <c r="M228" i="3"/>
  <c r="Q227" i="3"/>
  <c r="M226" i="3"/>
  <c r="Q225" i="3"/>
  <c r="M224" i="3"/>
  <c r="Q223" i="3"/>
  <c r="M222" i="3"/>
  <c r="Q221" i="3"/>
  <c r="M220" i="3"/>
  <c r="Q219" i="3"/>
  <c r="Q235" i="3" s="1"/>
  <c r="M214" i="3"/>
  <c r="Q257" i="3"/>
  <c r="Q213" i="3"/>
  <c r="M212" i="3"/>
  <c r="Q211" i="3"/>
  <c r="M210" i="3"/>
  <c r="Q209" i="3"/>
  <c r="M208" i="3"/>
  <c r="Q207" i="3"/>
  <c r="M206" i="3"/>
  <c r="Q205" i="3"/>
  <c r="M204" i="3"/>
  <c r="Q203" i="3"/>
  <c r="M202" i="3"/>
  <c r="Q201" i="3"/>
  <c r="M200" i="3"/>
  <c r="Q199" i="3"/>
  <c r="M198" i="3"/>
  <c r="Q197" i="3"/>
  <c r="M196" i="3"/>
  <c r="Q195" i="3"/>
  <c r="M194" i="3"/>
  <c r="Q193" i="3"/>
  <c r="M190" i="3"/>
  <c r="Q189" i="3"/>
  <c r="M188" i="3"/>
  <c r="Q187" i="3"/>
  <c r="M186" i="3"/>
  <c r="Q185" i="3"/>
  <c r="M184" i="3"/>
  <c r="Q183" i="3"/>
  <c r="M140" i="3"/>
  <c r="Q139" i="3"/>
  <c r="M142" i="3"/>
  <c r="Q141" i="3"/>
  <c r="M138" i="3"/>
  <c r="Q137" i="3"/>
  <c r="M136" i="3"/>
  <c r="Q135" i="3"/>
  <c r="M134" i="3"/>
  <c r="Q133" i="3"/>
  <c r="M132" i="3"/>
  <c r="Q131" i="3"/>
  <c r="M130" i="3"/>
  <c r="Q129" i="3"/>
  <c r="M128" i="3"/>
  <c r="Q127" i="3"/>
  <c r="M126" i="3"/>
  <c r="Q125" i="3"/>
  <c r="Q143" i="3" s="1"/>
  <c r="M192" i="3"/>
  <c r="Q191" i="3"/>
  <c r="Q181" i="3"/>
  <c r="Q179" i="3"/>
  <c r="Q177" i="3"/>
  <c r="M172" i="3"/>
  <c r="Q171" i="3"/>
  <c r="M170" i="3"/>
  <c r="Q169" i="3"/>
  <c r="M168" i="3"/>
  <c r="Q167" i="3"/>
  <c r="M166" i="3"/>
  <c r="Q165" i="3"/>
  <c r="M164" i="3"/>
  <c r="Q163" i="3"/>
  <c r="M162" i="3"/>
  <c r="Q161" i="3"/>
  <c r="M160" i="3"/>
  <c r="Q159" i="3"/>
  <c r="M158" i="3"/>
  <c r="Q157" i="3"/>
  <c r="M156" i="3"/>
  <c r="Q155" i="3"/>
  <c r="M154" i="3"/>
  <c r="Q153" i="3"/>
  <c r="M152" i="3"/>
  <c r="Q151" i="3"/>
  <c r="M150" i="3"/>
  <c r="Q149" i="3"/>
  <c r="M148" i="3"/>
  <c r="Q147" i="3"/>
  <c r="M146" i="3"/>
  <c r="Q145" i="3"/>
  <c r="Q173" i="3"/>
  <c r="M120" i="3"/>
  <c r="Q119" i="3" s="1"/>
  <c r="M118" i="3"/>
  <c r="Q117" i="3" s="1"/>
  <c r="M116" i="3"/>
  <c r="Q115" i="3" s="1"/>
  <c r="M114" i="3"/>
  <c r="Q113" i="3" s="1"/>
  <c r="M112" i="3"/>
  <c r="Q111" i="3" s="1"/>
  <c r="M110" i="3"/>
  <c r="Q109" i="3" s="1"/>
  <c r="M108" i="3"/>
  <c r="Q107" i="3" s="1"/>
  <c r="M106" i="3"/>
  <c r="Q105" i="3" s="1"/>
  <c r="M102" i="3"/>
  <c r="Q101" i="3"/>
  <c r="M100" i="3"/>
  <c r="Q99" i="3"/>
  <c r="Q103" i="3" s="1"/>
  <c r="M96" i="3"/>
  <c r="Q95" i="3"/>
  <c r="Q97" i="3" s="1"/>
  <c r="M94" i="3"/>
  <c r="Q93" i="3"/>
  <c r="M70" i="3"/>
  <c r="Q69" i="3"/>
  <c r="M68" i="3"/>
  <c r="Q67" i="3"/>
  <c r="A36" i="2"/>
  <c r="A35" i="2"/>
  <c r="A34" i="2"/>
  <c r="A33" i="2"/>
  <c r="A32" i="2"/>
  <c r="A31" i="2"/>
  <c r="A30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29" i="2"/>
  <c r="Q71" i="3"/>
  <c r="Q271" i="3" l="1"/>
  <c r="Q280" i="3" s="1"/>
  <c r="Q282" i="3" s="1"/>
  <c r="C14" i="3" s="1"/>
  <c r="A32" i="3" s="1"/>
  <c r="Q123" i="3"/>
</calcChain>
</file>

<file path=xl/sharedStrings.xml><?xml version="1.0" encoding="utf-8"?>
<sst xmlns="http://schemas.openxmlformats.org/spreadsheetml/2006/main" count="415" uniqueCount="297">
  <si>
    <t>Смета1</t>
  </si>
  <si>
    <t>Форма № 2п</t>
  </si>
  <si>
    <t>Приложение к</t>
  </si>
  <si>
    <t>(договору, дополнительному соглашению)</t>
  </si>
  <si>
    <t>от</t>
  </si>
  <si>
    <t>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</si>
  <si>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</si>
  <si>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</si>
  <si>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 стоимости:(a+bx)*Kj или (объем строительно-монтажных работ)* проц.</t>
  </si>
  <si>
    <t>Стоимость</t>
  </si>
  <si>
    <t>100 или количество * цена</t>
  </si>
  <si>
    <t>[подпись (инициалы,фамилия)]</t>
  </si>
  <si>
    <t>Составитель сметы</t>
  </si>
  <si>
    <t xml:space="preserve">Наименование предприятия, здания, сооружения, стадии проектирования, этапа, вида </t>
  </si>
  <si>
    <t>Тыс.руб</t>
  </si>
  <si>
    <t>РНиП 4.05.01-93</t>
  </si>
  <si>
    <t>Всего по смете-калькуляции (в тыс.рублей):</t>
  </si>
  <si>
    <t>СОГЛАСОВАНО (ГОСОРГАН)</t>
  </si>
  <si>
    <t>М.П.</t>
  </si>
  <si>
    <t>"_____" ______________ 2014г.</t>
  </si>
  <si>
    <t>СОГЛАСОВАНО (ПОЛЬЗОВАТЕЛЬ)</t>
  </si>
  <si>
    <t xml:space="preserve">"Утвержден" </t>
  </si>
  <si>
    <t>"_____" ______________ 20 ___ г.</t>
  </si>
  <si>
    <t xml:space="preserve">в сумме: </t>
  </si>
  <si>
    <t>тыс. руб.</t>
  </si>
  <si>
    <t xml:space="preserve">в том числе возвраьных сумм: </t>
  </si>
  <si>
    <t>(ссылка на документ об утверждении)</t>
  </si>
  <si>
    <t>(наименование объекта культурного наследия)</t>
  </si>
  <si>
    <t>Составлена в текущих ценах согласно Письму Министерства культуры РФ от 20 декабря 2011 г. № 107-01-39/10-КЧ</t>
  </si>
  <si>
    <t>НДС не облагается - Статья 149 Налогового кодекса РФ (подп. 15 п. 2):</t>
  </si>
  <si>
    <t>Итого по разделу №1:</t>
  </si>
  <si>
    <t>Итого по смете:</t>
  </si>
  <si>
    <t xml:space="preserve">Наименование проектной (изыскательской) организации: </t>
  </si>
  <si>
    <t xml:space="preserve">Наименование организации заказчика: </t>
  </si>
  <si>
    <t>Главный инженер проекта:</t>
  </si>
  <si>
    <t>Состав предварительных работ:</t>
  </si>
  <si>
    <t>Ознакомление с «Заданием», предъявленной «Заказчиком» документацией и с памятником в натуре</t>
  </si>
  <si>
    <t>Определение физического объема памятника</t>
  </si>
  <si>
    <t>Составление актов технического состояния и утрат первоначального облика</t>
  </si>
  <si>
    <t>Предварительное инженерное заключение и рекомендации</t>
  </si>
  <si>
    <t>Краткие историко-архивные и библиографические сведения</t>
  </si>
  <si>
    <t>Предварительные соображения по намечаемым реставрационным работам</t>
  </si>
  <si>
    <t>Программа научно-проектных работ</t>
  </si>
  <si>
    <t>Смета-калькуляция стоимости научно-проектных работ</t>
  </si>
  <si>
    <t xml:space="preserve">Смета № </t>
  </si>
  <si>
    <t>На предварительные работы для разработки научно-проектной документации для проведения ремонтно-реставрационных работ на объекте культурного наследия ___________________ по адресу: _______________________________________</t>
  </si>
  <si>
    <t>Таблица 1.2, п.3, графы 3-10; Пояснения, п.4: К=1,3 к графам 3-6.</t>
  </si>
  <si>
    <t>ПРЕДВАРИТЕЛЬНЫЕ РАБОТЫ. Измеритель: памятник.  (1,29*1,3+2,41*1,3+3,4*1,3+4,42*1,3+2,97+1,83+2,36+0,94)*2592</t>
  </si>
  <si>
    <t>Ц=1*(1,29*1,3+2,41*1,3+3,4*1,3+4,42*1,3+2,97+1,83+2,36+0,94)*2592/1000</t>
  </si>
  <si>
    <t>ПРЕДВАРИТЕЛЬНЫЕ РАБОТЫ. Участие в подготовке «Задания на разработку научно-проектной документации для реставрации недвижимого памятника истории и культуры» Измеритель: памятник.  (1,29+2,41+3,4+4,42+2,97+1,83+2,36+0,94)*0,5*2592</t>
  </si>
  <si>
    <t>Ц=1*(1,29+2,41+3,4+4,42+2,97+1,83+2,36+0,94)*0,5*2592/1000</t>
  </si>
  <si>
    <t>Таблица 1.2, п.3, графы 3-10; Пояснения, п.1: К=0,5</t>
  </si>
  <si>
    <t xml:space="preserve">№1. Предварительные работы </t>
  </si>
  <si>
    <r>
      <t xml:space="preserve">Исходные данные: Здание, ориентировочно: </t>
    </r>
    <r>
      <rPr>
        <u/>
        <sz val="10"/>
        <color rgb="FFFF0000"/>
        <rFont val="Times New Roman"/>
        <family val="1"/>
        <charset val="204"/>
      </rPr>
      <t>V=1775,61 куб.м.</t>
    </r>
    <r>
      <rPr>
        <sz val="10"/>
        <color theme="1"/>
        <rFont val="Times New Roman"/>
        <family val="1"/>
        <charset val="204"/>
      </rPr>
      <t>; II категория сложности; Письмо Министерства культуры РФ от 20 декабря 2011 г. № 107-01-39/10-КЧ: К=4.; п.1.5; Письмо Министерства культуры РФ от 13.11.1998 г. № 01-211/16-14: Стоимость чел.дня 540 рублей; п.1.5. РНиП 4.05.01-93: К=1,2. Стоимость чел. дня в текущих ценах: 540*4*1,2=2592 рубля.</t>
    </r>
  </si>
  <si>
    <t>Таблица 1.3, п.1(II); Пояснения, п.2б: К=1,4</t>
  </si>
  <si>
    <t>ИСТОРИКО-АРХИВНЫЕ И БИБЛИОГРАФИЧЕСКИЕ ИССЛЕДОВАНИЯ И ИСТОРИЧЕСКИЕ ЗАПИСКИ. Историко-архивные и библиографические исследования. Измеритель: памятник.  77,61*1,4*2592</t>
  </si>
  <si>
    <t>Ц=1*77,61*1,4*2592/1000</t>
  </si>
  <si>
    <t>Таблица 1.3, п.2(II)</t>
  </si>
  <si>
    <t>ИСТОРИКО-АРХИВНЫЕ И БИБЛИОГРАФИЧЕСКИЕ ИССЛЕДОВАНИЯ И ИСТОРИЧЕСКИЕ ЗАПИСКИ. Историческая записка на основе опубликованных материалов. Измеритель: памятник.  20,55*1,4*2592</t>
  </si>
  <si>
    <t>Ц=1*20,55*2592/1000</t>
  </si>
  <si>
    <t>Фотофиксация. 13х18. Измеритель: негатив, отпечаток.  (0,33+4*0,167)*2592</t>
  </si>
  <si>
    <t>Ц=1*(0,33+4*0,167)*2592/1000</t>
  </si>
  <si>
    <t>Таблица 6.4, п.5, графы 3,5; Пояснения, п.1: К=0,5</t>
  </si>
  <si>
    <t>СЦНПР-91</t>
  </si>
  <si>
    <t>Таблица 1-22, п.5; Прим., п.1</t>
  </si>
  <si>
    <t>Ц=1*(78+16*(70-20)/5)*14,6*4/1000</t>
  </si>
  <si>
    <t>Альбом фотоиллюстраций с подбором наклейкой, компоновкой и составлением кратких аннотаций, включающих в себя до 20 фотографий. Измеритель: Альбом до 5 экз.  (78+16*(70-20)/5)*14,6*4</t>
  </si>
  <si>
    <t>Таблица 1.4, п.4(II); Пояснения, п.9; Пояснения, п.2: К=0,6; О.Ч., Прил.4, п.1: К=1,2 к полевым работам.</t>
  </si>
  <si>
    <t>Таблица 1.5, п.4(II); Пояснения, п.9; Пояснения, п.2: К=0,6; О.Ч., Прил.4, п.5: К=1,3 к полевым работам.</t>
  </si>
  <si>
    <t>АРХИТЕКТУРНЫЕ ОБМЕРЫ ПАМЯТНИКА В ЦЕЛОМ - ПЛАНЫ. Измеритель: памятник.  (10,62*0,526*1,2+10,62*0,474)*0,6*2592</t>
  </si>
  <si>
    <t>Ц=1*(10,62*0,526*1,2+10,62*0,474)*0,6*2592/1000</t>
  </si>
  <si>
    <t>АРХИТЕКТУРНЫЕ ОБМЕРЫ ПАМЯТНИКА В ЦЕЛОМ - ФАСАДЫ. Измеритель: памятник.  (11,98*0,526*1,3+11,98*0,474)*0,6*2592</t>
  </si>
  <si>
    <t>Ц=1*(11,98*0,526*1,3+11,98*0,474)*0,6*2592/1000</t>
  </si>
  <si>
    <t>Таблица 1.6, п.4(II); Пояснения, п.9; Пояснения, п.2: К=0,6; О.Ч., Прил.4, п.5: К=1,3 к полевым работам.</t>
  </si>
  <si>
    <t>АРХИТЕКТУРНЫЕ ОБМЕРЫ ПАМЯТНИКА В ЦЕЛОМ - РАЗРЕЗЫ. Измеритель: памятник.  (5,18*0,526*1,3+5,18*0,474)*0,6*2592</t>
  </si>
  <si>
    <t>Ц=1*(5,18*0,526*1,3+5,18*0,474)*0,6*2592/1000</t>
  </si>
  <si>
    <t>Таблица 1.7, п.1(II); Пояснения, п.9; Пояснения, п.2: К=0,6; О.Ч., Прил.4, п.5: К=1,3 к полевым работам.</t>
  </si>
  <si>
    <t>Ц=1*(0,47*0,526*1,3+0,47*0,474)*0,6*2592/1000</t>
  </si>
  <si>
    <t>Таблица 1.7, п.2(II); Пояснения, п.9; Пояснения, п.2: К=0,6; О.Ч., Прил.4, п.5: К=1,3 к полевым работам.</t>
  </si>
  <si>
    <t>Ц=1*(0,28*0,526*1,3+0,28*0,474)*0,6*2592/1000</t>
  </si>
  <si>
    <t>АРХИТЕКТУРНЫЕ ОБМЕРЫ КОНСТРУКЦИЙ ПАМЯТНИКА. Общий вид конструкций. 
 Измеритель: форматка. Масштаб 1:50  1*(0,47*0,526*1,3+0,47*0,474)*0,6*2592</t>
  </si>
  <si>
    <t>АРХИТЕКТУРНЫЕ ОБМЕРЫ КОНСТРУКЦИЙ ПАМЯТНИКА. Детали. 
 Измеритель: форматка. Масштаб 1:10  1*(0,28*0,526*1,3+0,28*0,474)*0,6*2592</t>
  </si>
  <si>
    <t>Таблица 1.8, п.2(II); Пояснения, п.9; Пояснения, п.2: К=0,6; О.Ч., Прил.4, п.5: К=1,3 к полевым работам.</t>
  </si>
  <si>
    <t>АРХИТЕКТУРНЫЕ ОБМЕРЫ ЧАСТЕЙ И ЭЛЕМЕНТОВ ПАМЯТНИКА. Фрагменты планов, фасадов, разрезов; развертки стен. 
 Измеритель: форматка. Масштаб 1:20  1*(1,25*0,526*1,3+1,25*0,474)*0,6*2592</t>
  </si>
  <si>
    <t>Ц=1*(1,25*0,526*1,3+1,25*0,474)*0,6*2592/1000</t>
  </si>
  <si>
    <t>Ц=1*(1,02*0,526*1,3+1,02*0,474)*0,6*2592/1000</t>
  </si>
  <si>
    <t>АРХИТЕКТУРНЫЕ ОБМЕРЫ ЧАСТЕЙ И ЭЛЕМЕНТОВ ПАМЯТНИКА. Архитектурные детали. 
 Измеритель: форматка. Масштаб 1:10  1*(1,02*0,526*1,3+1,02*0,474)*0,6*2592</t>
  </si>
  <si>
    <t>АРХИТЕКТУРНЫЕ ОБМЕРЫ ЧАСТЕЙ И ЭЛЕМЕНТОВ ПАМЯТНИКА. Шаблоны. 
 Измеритель: форматка. Масштаб 1:1  1*(0,51*0,526*1,3+0,51*0,474)*0,6*2592</t>
  </si>
  <si>
    <t>Ц=1*(0,51*0,526*1,3+0,51*0,474)*0,6*2592/1000</t>
  </si>
  <si>
    <t>№2. Историко-архивные и библиографические исследования.</t>
  </si>
  <si>
    <t>Итого по разделу №2:</t>
  </si>
  <si>
    <t>№3. Фотофиксация.</t>
  </si>
  <si>
    <t>Итого по разделу №3:</t>
  </si>
  <si>
    <t>№4. Архитектурные обмеры</t>
  </si>
  <si>
    <t>Итого по разделу №4:</t>
  </si>
  <si>
    <t xml:space="preserve">СБЦ. ИНЖЕНЕРНО-ГЕОДЕЗИЧЕСКИЕ ИЗЫСКАНИЯ ПРИ
СТРОИТЕЛЬСТВЕ И ЭКСПЛУАТАЦИИ ЗДАНИЙ
И СООРУЖЕНИЙ
</t>
  </si>
  <si>
    <t>Глава 2, таблица 9, п.6(III)</t>
  </si>
  <si>
    <t>Ц=1*(146+84)*3,79/1000</t>
  </si>
  <si>
    <t>Нивелировка цоколя 
 Измеритель: шт. 1*(146+84)*3,79</t>
  </si>
  <si>
    <t>Глава 5, Таблица 31, п.4; Примеч.: К=1,5</t>
  </si>
  <si>
    <t>Ц=1*362*1,5*3,79/1000</t>
  </si>
  <si>
    <t>Обмеры трубопроводов различного назначения. 30 участков - от тройника до тройника, от тройника до прибора.
 Измеритель: 10 участков трубопровода. 1*362*1,5*3,79</t>
  </si>
  <si>
    <t>Глава 8, Таблица 50, п.1;</t>
  </si>
  <si>
    <t>Ц=1*63*3,79/1000</t>
  </si>
  <si>
    <t>Составление планов разрезов и схем расположения трубопроводов по готовым зарисовкам и эскизам с увязкой всех размеров.
 Измеритель: 10 участков трубопровода. 1*63*3,79</t>
  </si>
  <si>
    <t>Глава 6, Таблица 39, п.4(III);</t>
  </si>
  <si>
    <t>Ц=1*10987*3,79/1000</t>
  </si>
  <si>
    <t>Обмеры схем осветительного электрооборудования при развернутой площади здания, м : 2000-5000м2.
 Измеритель: Объект. 1*10987*3,79</t>
  </si>
  <si>
    <t>Глава 8, Таблица 51, п.13;</t>
  </si>
  <si>
    <t>Ц=1*1428*3,79/1000</t>
  </si>
  <si>
    <t>Составление чертежей обмеров осветительного электрооборудования  при развернутой площади здания, м : 2000-5000м2.
 Измеритель: Объект. 1*1428*3,79</t>
  </si>
  <si>
    <t>Составление планов разрезов и схем расположения трубопроводов по готовым зарисовкам и эскизам с увязкой всех размеров.
 Измеритель: 10 систем. 1*63*3,79</t>
  </si>
  <si>
    <t>Глава 5, Таблица 31, п.1; Примечания: К=1,5</t>
  </si>
  <si>
    <t>Ц=1*242*1,5*3,79/1000</t>
  </si>
  <si>
    <t>Обмер внутренних вентканалов.
 Измеритель: 10 систем. 1*242*1,5*3,79</t>
  </si>
  <si>
    <t xml:space="preserve">Глава 1, Таблица 7, п.6; </t>
  </si>
  <si>
    <t>Ц=1*1277*3,79/1000</t>
  </si>
  <si>
    <t xml:space="preserve">Глава 2, Таблица 9, п.1(III); </t>
  </si>
  <si>
    <t>Ц=1*130*3,79/1000</t>
  </si>
  <si>
    <t>Рекогносцировка мест постановки нивелира и реек.
 Измеритель: Станция. 1*130*3,79</t>
  </si>
  <si>
    <t xml:space="preserve">Глава 2, Таблица 9, п.6(III); </t>
  </si>
  <si>
    <t>Нивелировка перекрытий.
 Измеритель: Шт. 1*(146+84)*3,79</t>
  </si>
  <si>
    <t xml:space="preserve">Глава 2, Таблица 9, п.15(III); </t>
  </si>
  <si>
    <t>Ц=1*(502+267)*3,79/1000</t>
  </si>
  <si>
    <t>Текущие наблюдения наклонов различных (по высоте) сечений сооружения. Определение вертикальности.
 Измеритель: Сечение. 1*(502+267)*3,79</t>
  </si>
  <si>
    <t xml:space="preserve">СБЦ. ИНЖЕНЕРНО-ГЕОДЕЗИЧЕСКИЕ ИЗЫСКАНИЯ. М.2004
</t>
  </si>
  <si>
    <t>Таблица 9, п.3; Примечания, п.1: К=2; п.3: К=0,5.</t>
  </si>
  <si>
    <t>Ц=1*4991*2*0,5*3,79/1000</t>
  </si>
  <si>
    <t>Создание планово-высотной съемочной основы территории (обновление) М 1:200. Полевые работы.
 Измеритель: Га. 1*4991*2*0,5*3,79</t>
  </si>
  <si>
    <t>Ц=1*1692*2*0,5*3,79/1000</t>
  </si>
  <si>
    <t>Создание планово-высотной съемочной основы территории (обновление) М 1:200. Камеральные работы.
 Измеритель: Га. 1*1692*2*0,5*3,79</t>
  </si>
  <si>
    <t>Знаки, закладываемые в зданиях, сооружениях. Изготовление и установка (закладка) опорных (исходных) и рабочих (контрольных) геодезических знаков (реперы, марки).
 Измеритель: Знак. 1*1277*3,79</t>
  </si>
  <si>
    <t>Итого по разделу №5:</t>
  </si>
  <si>
    <t>№6. Геодезические работы.</t>
  </si>
  <si>
    <t>Транспортные расходы (от полевых работ).
 Измеритель: Работы. 1*(24*146*3,79/1000+6,174+41,641+1,651+67,76+17,748+36*146*3,79/1000+10*502*3,79/1000+9,458)*0,1875</t>
  </si>
  <si>
    <t>Таблица 4, п.6: 18,75%; Полевые работы: п.п. 1,2,4,7,8,9,10,11,12</t>
  </si>
  <si>
    <t>Ц=1*(24*146*3,79/1000+6,174+41,641+1,651+67,76+17,748+36*146*3,79/1000+10*502*3,79/1000+9,458)*0,1875</t>
  </si>
  <si>
    <t xml:space="preserve">СБЦ. Объекты жилищно-гражданского строительства 2010
</t>
  </si>
  <si>
    <t xml:space="preserve">СБЦ. Системы противопожарной и охранной защиты
</t>
  </si>
  <si>
    <t>СБЦ. Объекты связи.</t>
  </si>
  <si>
    <t>Таблица 1.15, п.2(II); Пояснения, п.2: К=1,1</t>
  </si>
  <si>
    <t>Ц=1*37,35*1,1*540*1,2*4/1000</t>
  </si>
  <si>
    <t>СОСТАВЛЕНИЕ ТЕКСТОВЫХ МАТЕРИАЛОВ НАУЧНО-ПРОЕКТНОЙ ДОКУМЕНТАЦИИ. Пояснительная записка. (к проекту реставрации). 
 Измеритель: печатный лист.   1*37,35*1,1*540*1,2*4</t>
  </si>
  <si>
    <t>№5. Исследовательские работы.</t>
  </si>
  <si>
    <t>Итого по разделу №6:</t>
  </si>
  <si>
    <t>№7. Проектные работы.</t>
  </si>
  <si>
    <t>Таблица 1.10, п.1, Графа 4.</t>
  </si>
  <si>
    <t>ЗОНДАЖИ. 
 Измеритель: Зондаж.   1*0,54*2592</t>
  </si>
  <si>
    <t>Ц=1*0,54*2592/1000</t>
  </si>
  <si>
    <t>Таблица 1.10, п.2, Графа 4.</t>
  </si>
  <si>
    <t>ЗОНДАЖИ. Фиксация в масштабе 1:10 зондажу с составлением акта исследования.
 Измеритель: форматка.   1*0,9*2592</t>
  </si>
  <si>
    <t>Ц=1*0,9*2592/1000</t>
  </si>
  <si>
    <t>Таблица 1.11, п.1, Графа 4.</t>
  </si>
  <si>
    <t>ШУРФЫ. 
 Измеритель: Шурф.   1*2,17*2592</t>
  </si>
  <si>
    <t>Ц=1*2,17*2592/1000</t>
  </si>
  <si>
    <t>ШУРФЫ. Фиксация в масштабе 1:10 по шурфу с составлением акта исследования.
 Измеритель: форматка.   1*0,9*2592</t>
  </si>
  <si>
    <t>Таблица 1.13, п.4(II); Пояснения, п.1: К=1,3</t>
  </si>
  <si>
    <t>ИНЖЕНЕРНЫЕ ИССЛЕДОВАНИЯ ПАМЯТНИКА. 
 Измеритель: памятник.   1*24,75*1,3*2592</t>
  </si>
  <si>
    <t>Ц=1*24,75*1,3*2592/1000</t>
  </si>
  <si>
    <t xml:space="preserve">Таблица 1.14, п.4(II) </t>
  </si>
  <si>
    <t>ТЕХНОЛОГИЧЕСКИЕ ИССЛЕДОВАНИЯ ПО СТРОИТЕЛЬНЫМ И ОТДЕЛОЧНЫМ МАТЕРИАЛАМ. 
 Измеритель: памятник.   1*72,86*2592</t>
  </si>
  <si>
    <t>Ц=1*72,86*2592/1000</t>
  </si>
  <si>
    <t>Разработка технологий реставрации памятников. 
 Измеритель: Схема, этап.   1*(110+185*3)*0,7*14,6*4</t>
  </si>
  <si>
    <t>Ц=1*(110+185*3)*0,7*14,6*4/1000</t>
  </si>
  <si>
    <t>Таблица 7-18, п.1А, Б. (4 схемы по 3 этапа); Примечания, п.3: К=0,7.</t>
  </si>
  <si>
    <t>Таблица 1.15, п.1(II); Пояснения, п.2: К=1,1</t>
  </si>
  <si>
    <t>СОСТАВЛЕНИЕ ТЕКСТОВЫХ МАТЕРИАЛОВ НАУЧНО-ПРОЕКТНОЙ ДОКУМЕНТАЦИИ. Отчет по результатам исследований памятника. 
 Измеритель: печатный лист.   1*39,12*1,1*2592</t>
  </si>
  <si>
    <t>Ц=1*39,12*1,1*2592/1000</t>
  </si>
  <si>
    <t>Таблица 1.15, п.3(II); Пояснения, п.2: К=1,1</t>
  </si>
  <si>
    <t>СОСТАВЛЕНИЕ ТЕКСТОВЫХ МАТЕРИАЛОВ НАУЧНО-ПРОЕКТНОЙ ДОКУМЕНТАЦИИ. Рекомендации, технологические карты, научно-методические указания по реставрации памятника. 
 Измеритель: печатный лист.   1*53,28*1,1*2592</t>
  </si>
  <si>
    <t>Ц=1*53,28*1,1*2592/1000</t>
  </si>
  <si>
    <t>Таблица 1.16, п.4(II); Пояснения, п.1: К=1,25</t>
  </si>
  <si>
    <t>Ц=1*13,6*1,25*2592/1000</t>
  </si>
  <si>
    <t>Таблица 1.17, п.4(II); Пояснения, п.1: К=1,5</t>
  </si>
  <si>
    <t>Ц=1*11,96*1,5*2592/1000</t>
  </si>
  <si>
    <t>Таблица 1.18, п.4(II); Пояснения, п.1: К=1,4; п.3: К=1,1</t>
  </si>
  <si>
    <t>Ц=1*5,02*1,4*1,1*2592/1000</t>
  </si>
  <si>
    <t>АРХИТЕКТУРНЫЕ РЕШЕНИЯ ПРОЕКТА РЕСТАВРАЦИИ ПАМЯТНИКА В ЦЕЛОМ - РАЗРЕЗЫ.  
 Измеритель: памятник.   1*5,02*1,4*1,1*2592</t>
  </si>
  <si>
    <t>АРХИТЕКТУРНЫЕ РЕШЕНИЯ ПРОЕКТА РЕСТАВРАЦИИ ПАМЯТНИКА В ЦЕЛОМ - ФАСАДЫ.  
 Измеритель: памятник.   1*11,96*1,5*2592</t>
  </si>
  <si>
    <t>АРХИТЕКТУРНЫЕ РЕШЕНИЯ ПРОЕКТА РЕСТАВРАЦИИ ПАМЯТНИКА В ЦЕЛОМ - ПЛАНЫ.  
 Измеритель: памятник.   1*13,6*1,25*2592</t>
  </si>
  <si>
    <t>Таблица 1.20, п.4(II); Пояснения, п.2: К=1,2</t>
  </si>
  <si>
    <t>ОСНОВНЫЕ РЕШЕНИЯ ПО ОРГАНИЗАЦИИ РЕСТАВРАЦИИ ПАМЯТНИКА.  
 Измеритель: памятник.   1*7,95*1,2*2592</t>
  </si>
  <si>
    <t>Ц=1*7,95*1,2*2592/1000</t>
  </si>
  <si>
    <t xml:space="preserve">Таблица 1.21, п.4(II); </t>
  </si>
  <si>
    <t>АРХИТЕКТУРНО-СТРОИТЕЛЬНЫЕ РАБОЧИЕ ЧЕРТЕЖИ ПО ПАМЯТНИКУ В ЦЕЛОМ - ПЛАНЫ.  
 Измеритель: памятник.   1*5,71*2592</t>
  </si>
  <si>
    <t>Ц=1*5,71*2592/1000</t>
  </si>
  <si>
    <t xml:space="preserve">Таблица 1.22, п.4(II); </t>
  </si>
  <si>
    <t>АРХИТЕКТУРНО-СТРОИТЕЛЬНЫЕ РАБОЧИЕ ЧЕРТЕЖИ ПО ПАМЯТНИКУ В ЦЕЛОМ - ФАСАДЫ.  
 Измеритель: памятник.   1*5,02*2592</t>
  </si>
  <si>
    <t>Ц=1*5,02*2592/1000</t>
  </si>
  <si>
    <t xml:space="preserve">Таблица 1.23, п.4(II); </t>
  </si>
  <si>
    <t>АРХИТЕКТУРНО-СТРОИТЕЛЬНЫЕ РАБОЧИЕ ЧЕРТЕЖИ ПО ПАМЯТНИКУ В ЦЕЛОМ - РАЗРЕЗЫ.  
 Измеритель: памятник.   1*2,11*2592</t>
  </si>
  <si>
    <t>Ц=1*2,11*2592/1000</t>
  </si>
  <si>
    <t>Таблица 1.24, п.1(II); Пояснения, п.1: К=1,25</t>
  </si>
  <si>
    <t>АРХИТЕКТУРНО-СТРОИТЕЛЬНЫЕ РАБОЧИЕ ЧЕРТЕЖИ ЧАСТЕЙ И ЭЛЕМЕНТОВ ПАМЯТНИКА. Фрагменты планов, фасадов, разрезов; развертки стен. Масштаб 1:20. 
 Измеритель: форматка.   1*0,77*1,25*2592</t>
  </si>
  <si>
    <t>Ц=1*0,77*1,25*2592/1000</t>
  </si>
  <si>
    <t>Таблица 1.24, п.2(II); Пояснения, п.1: К=1,25</t>
  </si>
  <si>
    <t>АРХИТЕКТУРНО-СТРОИТЕЛЬНЫЕ РАБОЧИЕ ЧЕРТЕЖИ ЧАСТЕЙ И ЭЛЕМЕНТОВ ПАМЯТНИКА. Архитектурные детали. Масштаб 1:10. 
 Измеритель: форматка.   1*0,46*1,25*2592</t>
  </si>
  <si>
    <t>Ц=1*0,46*1,25*2592/1000</t>
  </si>
  <si>
    <t>АРХИТЕКТУРНО-СТРОИТЕЛЬНЫЕ РАБОЧИЕ ЧЕРТЕЖИ ЧАСТЕЙ И ЭЛЕМЕНТОВ ПАМЯТНИКА. Декор. Масштаб 1:1. 
 Измеритель: форматка.   1*0,23*1,25*2592</t>
  </si>
  <si>
    <t>АРХИТЕКТУРНО-СТРОИТЕЛЬНЫЕ РАБОЧИЕ ЧЕРТЕЖИ ЧАСТЕЙ И ЭЛЕМЕНТОВ ПАМЯТНИКА. Шаблоны. Масштаб 1:1. 
 Измеритель: форматка.   1*0,18*1,5*2592</t>
  </si>
  <si>
    <t>Ц=1*0,18*1,5*2592/1000</t>
  </si>
  <si>
    <t>Таблица 1.24, п.5(II); Пояснения, п.1: К=1,5</t>
  </si>
  <si>
    <t>Таблица 1.24, п.4(II); Пояснения, п.1: К=2</t>
  </si>
  <si>
    <t>ИНЖЕНЕРНО-КОНСТРУКТОРСКИЕ РАБОЧИЕ ЧЕРТЕЖИ. Общий вид конструкций. Масштаб 1:50. 
 Измеритель: форматка.   1*2,42*1,3*2592</t>
  </si>
  <si>
    <t>Таблица 1.25, п.1(II); Пояснения, п.1: К=1,3</t>
  </si>
  <si>
    <t>Ц=1*2,42*1,3*2592/1000</t>
  </si>
  <si>
    <t>Таблица 1.27, п.1(II); Пояснения, п.1: К=1,5</t>
  </si>
  <si>
    <t>РАБОЧИЕ ЧЕРТЕЖИ ГОТОВЫХ ИЗДЕЛИЙ - РЕШЕТОК, КРЕСТОВ, МЕТАЛЛИЧЕСКИХ ДВЕРЕЙ, ОКОННЫХ И ДВЕРНЫХ ПРИБОРОВ, СТОЛЯРНЫХ ИЗДЕЛИЙ: ОКОН, ДВЕРЕЙ, БАЛЯСИН. Общий вид изделий. Масштаб 1:20. 
 Измеритель: форматка.   1*0,81*1,5*2592</t>
  </si>
  <si>
    <t>Ц=1*0,81*1,5*2592/1000</t>
  </si>
  <si>
    <t>РАБОЧИЕ ЧЕРТЕЖИ ГОТОВЫХ ИЗДЕЛИЙ - РЕШЕТОК, КРЕСТОВ, МЕТАЛЛИЧЕСКИХ ДВЕРЕЙ, ОКОННЫХ И ДВЕРНЫХ ПРИБОРОВ, СТОЛЯРНЫХ ИЗДЕЛИЙ: ОКОН, ДВЕРЕЙ, БАЛЯСИН. Детали. Масштаб 1:5. 
 Измеритель: форматка.   1*0,74*1,5*2592</t>
  </si>
  <si>
    <t>Ц=1*0,74*1,5*2592/1000</t>
  </si>
  <si>
    <t>Итого по разделу №7:</t>
  </si>
  <si>
    <t>№8. Благоустройство территории. Исследования.</t>
  </si>
  <si>
    <t xml:space="preserve">Таблица 2.4., п.1(II); </t>
  </si>
  <si>
    <t>СОСТАВЛЕНИЕ ТЕКСТОВЫХ МАТЕРИАЛОВ НАУЧНО-ПРОЕКТНОЙ ДОКУМЕНТАЦИИ. Пояснительная записка. (к Рабочей документации). 
 Измеритель: печатный лист.   1*37,35*1,1*2592</t>
  </si>
  <si>
    <t>Ц=1*37,35*1,1*2592/1000</t>
  </si>
  <si>
    <t>Ц=1*2,33*2592/1000</t>
  </si>
  <si>
    <t>НАТУРНЫЕ ИССЛЕДОВАНИЯ ПО ПАМЯТНИКУ - СОСТАВЛЕНИЕ ПЛАНОВ И СХЕМ ПО НАТУРНЫМ ДАННЫМ. Составление историко-архитектурного опорного плана на геоподоснове. 
 Измеритель: форматка.   1*2,33*2592</t>
  </si>
  <si>
    <t>НАТУРНЫЕ ИССЛЕДОВАНИЯ ПО ПАМЯТНИКУ - СОСТАВЛЕНИЕ ПЛАНОВ И СХЕМ ПО НАТУРНЫМ ДАННЫМ. Исследование функциональных зон территории; разработка схемы функционального зонирования. 
 Измеритель: форматка.   1*0,51*2592</t>
  </si>
  <si>
    <t>Ц=1*0,51*2592/1000</t>
  </si>
  <si>
    <t xml:space="preserve">Таблица 2.4., п.3(II); </t>
  </si>
  <si>
    <t xml:space="preserve">Таблица 2.5., п.1(II); </t>
  </si>
  <si>
    <t>НАТУРНЫЕ ИССЛЕДОВАНИЯ ПО ПАМЯТНИКУ - ВЕРТИКАЛЬНАЯ ПЛАНИРОВКА.  
 Измеритель: памятник, территория.   1*1,74*2592</t>
  </si>
  <si>
    <t>Ц=1*1,74*2592/1000</t>
  </si>
  <si>
    <t>НАТУРНЫЕ ИССЛЕДОВАНИЯ ПО ПАМЯТНИКУ - ЗОНДАЖИ.  
 Измеритель: зондаж до 3м.    1*5,43*2592</t>
  </si>
  <si>
    <t xml:space="preserve">Таблица 2.7., п.1, Графа 5. </t>
  </si>
  <si>
    <t>Ц=1*5,43*2592/1000</t>
  </si>
  <si>
    <t xml:space="preserve">Таблица 2.7., п.2, Графа 5. </t>
  </si>
  <si>
    <t>Ц=1*1,76*2592/1000</t>
  </si>
  <si>
    <t>НАТУРНЫЕ ИССЛЕДОВАНИЯ ПО ПАМЯТНИКУ - ЗОНДАЖИ. Фиксация в масштабе 1:100 по зондажу с составлением акта исследований.  
 Измеритель: форматка.    1*1,76*2592</t>
  </si>
  <si>
    <t>Таблица 2.10, п.1(II)</t>
  </si>
  <si>
    <t>Итого по разделу №8:</t>
  </si>
  <si>
    <t>№8. Благоустройство территории. Проектные работы.</t>
  </si>
  <si>
    <t>Таблица 2.8, п.1(II); Пояснения, п.1: К=2</t>
  </si>
  <si>
    <t>ЭСКИЗНЫЙ ПРОЕКТ РЕСТАВРАЦИИ. Генплан.   
 Измеритель: форматка.    1*4,42*2*2592</t>
  </si>
  <si>
    <t>Ц=1*4,42*2*2592/1000</t>
  </si>
  <si>
    <t>ЭСКИЗНЫЙ ПРОЕКТ РЕСТАВРАЦИИ. Вертикальная планировка.   
 Измеритель: форматка.    1*2,81*2*2592</t>
  </si>
  <si>
    <t>Ц=1*2,81*2*2592/1000</t>
  </si>
  <si>
    <t>Таблица 2.8, п.3(II); Пояснения, п.1: К=2</t>
  </si>
  <si>
    <t>Таблица 2.8, п.5(II); Пояснения, п.1: К=2</t>
  </si>
  <si>
    <t>ЭСКИЗНЫЙ ПРОЕКТ РЕСТАВРАЦИИ. Ситуационный план.   
 Измеритель: форматка.    1*2,57*2*2592</t>
  </si>
  <si>
    <t>Ц=1*2,57*2*2592/1000</t>
  </si>
  <si>
    <t>Таблица 2.8, п.2(II); Пояснения, п.1: К=2</t>
  </si>
  <si>
    <t>ЭСКИЗНЫЙ ПРОЕКТ РЕСТАВРАЦИИ. Дендроплан.   
 Измеритель: форматка.    1*1,98*2*2592</t>
  </si>
  <si>
    <t>Ц=1*1,98*2*2592/1000</t>
  </si>
  <si>
    <t>Ц=1*27,11*2592/1000</t>
  </si>
  <si>
    <t>ТЕКСТОВЫЕ МАТЕРИАЛЫ НАУЧНО-ПРОЕКТНОЙ ДОКУМЕНТАЦИИ. Заключение по результатам исследований.   
 Измеритель: печатный лист.    1*27,11*2592</t>
  </si>
  <si>
    <t>ТЕКСТОВЫЕ МАТЕРИАЛЫ НАУЧНО-ПРОЕКТНОЙ ДОКУМЕНТАЦИИ. Пояснительная записка к эскизному проекту.   
 Измеритель: печатный лист.    1*27,11*2592</t>
  </si>
  <si>
    <t>Таблица 2.9, п.1(II); Пояснения, п.1: К=2</t>
  </si>
  <si>
    <t>ПРОЕКТНЫЕ РАБОТЫ - РАБОЧАЯ ДОКУМЕНТАЦИЯ. Генплан.   
 Измеритель: форматка.    1*1,68*2*2592</t>
  </si>
  <si>
    <t>Ц=1*1,68*2*2592/1000</t>
  </si>
  <si>
    <t>Таблица 2.9, п.3(II); Пояснения, п.1: К=2</t>
  </si>
  <si>
    <t>ПРОЕКТНЫЕ РАБОТЫ - РАБОЧАЯ ДОКУМЕНТАЦИЯ. Дендроплан.   
 Измеритель: форматка.    1*1,49*2*2592</t>
  </si>
  <si>
    <t>Ц=1*1,49*2*2592/1000</t>
  </si>
  <si>
    <t>Таблица 2.9, п.6(II); Пояснения, п.1: К=2</t>
  </si>
  <si>
    <t>ПРОЕКТНЫЕ РАБОТЫ - РАБОЧАЯ ДОКУМЕНТАЦИЯ. Вертикальная планировка.   
 Измеритель: форматка.    1*1,58*2*2592</t>
  </si>
  <si>
    <t>Ц=1*1,58*2*2592/1000</t>
  </si>
  <si>
    <t>ТЕКСТОВЫЕ МАТЕРИАЛЫ НАУЧНО-ПРОЕКТНОЙ ДОКУМЕНТАЦИИ. Пояснительная записка к Рабочей документации.   
 Измеритель: печатный лист.    1*27,11*2592</t>
  </si>
  <si>
    <t>№8. Архитектура малых форм. "Ледник"</t>
  </si>
  <si>
    <t xml:space="preserve">Таблица 1-23, п. 15Б; Состав работ: Предварительные работы, обмерные работы, эскизный проект, рабочая документация. Расчет: (12+30+40)=82% </t>
  </si>
  <si>
    <t>Памятники архитектуры малых форм. "Ледник" - (Применительно: Ворота, колодцы, погреба).
 Измеритель: Памятник.   1*720*0,82*14,6*4</t>
  </si>
  <si>
    <t>Ц=1*720*0,82*14,6*4/1000</t>
  </si>
  <si>
    <t>СОСТАВЛЕНИЕ ТЕКСТОВЫХ МАТЕРИАЛОВ НАУЧНО-ПРОЕКТНОЙ ДОКУМЕНТАЦИИ. Пояснительные записки. 
 Измеритель: печатный лист.   1*37,35*1,1*540*1,2*4</t>
  </si>
  <si>
    <t>Разработка рабочих чертежей архитектурных и конструктивных элементов памятника. Рабочие чертежи изделия (план фасада, разрезы). Масштаб 1:10.
 Измеритель: Лист.   1*200*14,6*4</t>
  </si>
  <si>
    <t>Ц=1*200*14,6*4/1000</t>
  </si>
  <si>
    <t>Таблица 1-17, п. 1Б; Таблица 1-23, Примечания, п.1 - инженерные решения.</t>
  </si>
  <si>
    <t>Таблица 1-17, п. 2Б; Таблица 1-23, Примечания, п.1 - инженерные решения.</t>
  </si>
  <si>
    <t>Ц=1*180*14,6*4/1000</t>
  </si>
  <si>
    <t>Разработка рабочих чертежей архитектурных и конструктивных элементов памятника. Рабочие чертежи деталей, изделий. Масштаб 1:5.
 Измеритель: Лист.   1*180*14,6*4</t>
  </si>
  <si>
    <t>Таблица 1-17, п. 3Б; Таблица 1-23, Примечания, п.1 - инженерные решения.</t>
  </si>
  <si>
    <t>Разработка рабочих чертежей архитектурных и конструктивных элементов памятника. Рабочие чертежи изделия (план фасада, разрезы). Масштаб 1:1.
 Измеритель: Лист.   1*85*14,6*4</t>
  </si>
  <si>
    <t>Ц=1*85*14,6*4/1000</t>
  </si>
  <si>
    <t>Раздел 8. Таблица 10, п.1</t>
  </si>
  <si>
    <t>Ц=1*2,4*540/1000</t>
  </si>
  <si>
    <t>ПРЕОБРАЗОВАНИЕ И ВВОД ГРАФИЧЕСКОЙ ИНФОРМАЦИИ С ЧЕРТЕЖЕЙ В ЦИФРОВУЮ ФОРМУ ДЛЯ КОМПЬЮТЕРНОЙ ОБРАБОТКИ ИЛИ ХРАНЕНИЯ. Измеритель: форматка.  2,4*540</t>
  </si>
  <si>
    <r>
      <t xml:space="preserve">Исходные данные: Здание: </t>
    </r>
    <r>
      <rPr>
        <u/>
        <sz val="10"/>
        <color rgb="FFFF0000"/>
        <rFont val="Times New Roman"/>
        <family val="1"/>
        <charset val="204"/>
      </rPr>
      <t>V=1775,61 куб.м.</t>
    </r>
    <r>
      <rPr>
        <sz val="10"/>
        <color theme="1"/>
        <rFont val="Times New Roman"/>
        <family val="1"/>
        <charset val="204"/>
      </rPr>
      <t>; II категория сложности; Письмо Министерства культуры РФ от 20 декабря 2011 г. № 107-01-39/10-КЧ: К=4.; п.1.5; Письмо Министерства культуры РФ от 13.11.1998 г. № 01-211/16-14: К=14,6; Стоимость чел.дня 540 рублей; п.1.5. РНиП 4.05.01-93: К=1,2. Стоимость чел. дня в текущих ценах: 540*4*1,2=2592 рубля.</t>
    </r>
  </si>
  <si>
    <t>Итого по разделу №9:</t>
  </si>
  <si>
    <t xml:space="preserve">проектных работ: Разработка научно-проектной документации </t>
  </si>
  <si>
    <t>№9. Сметные работы.</t>
  </si>
  <si>
    <t>Таблица 7.1, п.1, графа 5, Пояснения, п.3: К=0,8.</t>
  </si>
  <si>
    <t>Ц=1*1,03*0,8*2592/1000</t>
  </si>
  <si>
    <t>СМЕТНЫЕ РАБОТЫ. Реставрационные, реставрационно-восстановительные, консервационные работы. Опись работ (Дефектная ведомость). При наличии документации. Измеритель:  10 позиций.  1*1,03*0,8*2592</t>
  </si>
  <si>
    <t>Таблица 7.1, п.1, графа 7, Пояснения, п.3: К=0,8.</t>
  </si>
  <si>
    <t>СМЕТНЫЕ РАБОТЫ. Реставрационные, реставрационно-восстановительные, консервационные работы. Сметные расчеты. Смета по развернутой форме. Измеритель:  10 позиций.  1*0,82*0,8*2592</t>
  </si>
  <si>
    <t>Ц=1*0,82*0,8*2592/1000</t>
  </si>
  <si>
    <t>Таблица 1, п.2; Стадия П: К=0,4; О.Ч., п.2.3: К=1,1;  Таблица 41, (кроме газоснабжения): К=0,98</t>
  </si>
  <si>
    <t>Таблица 1, п.2; Стадия Р: К=0,6; О.Ч., п.2.3: К=1,1;  Таблица 41, (кроме газоснабжения): К=0,98</t>
  </si>
  <si>
    <t>Жилые здания. Двухэтажные. Стадия Р.
 Измеритель: 1м3. 1*(183,72+0,0019*1400)*0,98*0,6*1,1*3,73</t>
  </si>
  <si>
    <t>Жилые здания. Двухэтажные. Стадия П.
 Измеритель: 1м3. 1*(183,72+0,0019*1400)*0,98*0,4*1,1*3,73</t>
  </si>
  <si>
    <t>Ц=1*(183,72+0,0019*1400)*0,98*0,4*1,1*3,73</t>
  </si>
  <si>
    <t>Ц=1*(183,72+0,0019*1400)*0,98*0,6*1,1*3,73</t>
  </si>
  <si>
    <t xml:space="preserve">Видеонаблюдение. Таблица 20, п.7; </t>
  </si>
  <si>
    <t>Пожарная сигнализация. Компенсационные мероприятия. Таблица 3, п.4 (Стадия П - 25%; Стадия Р-75%).   Прим.4 к табл.3: К=1,15; Прим.6 к табл.3: К=1,2; п.2.2 т.ч.: К=1,1; п.3.2 т.ч.: К=1,2.</t>
  </si>
  <si>
    <t>Компенсационные мероприятия.
 Измеритель: Объект. 1*972*28,73*1,15*1,2*1,3*1,1*1,2</t>
  </si>
  <si>
    <t>Ц=1*972*28,73*1,15*1,2*1,3*1,1*1,2/1000</t>
  </si>
  <si>
    <t>Видеонаблюдение..
 Измеритель: Объект. 1*(4317+539*2)*28,73</t>
  </si>
  <si>
    <t>Ц=1*(4317+539*2)*28,73/1000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</si>
</sst>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u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Alignment="1">
      <alignment horizontal="left" vertical="top" wrapText="1"/>
    </xf>
    <xf numFmtId="49" fontId="0" fillId="0" borderId="0" xfId="0" applyNumberFormat="1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12" xfId="0" applyFont="1" applyBorder="1"/>
    <xf numFmtId="0" fontId="2" fillId="0" borderId="0" xfId="0" applyFont="1" applyAlignment="1">
      <alignment horizontal="right"/>
    </xf>
    <xf numFmtId="0" fontId="0" fillId="0" borderId="0" xfId="0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Fill="1"/>
    <xf numFmtId="0" fontId="8" fillId="0" borderId="0" xfId="0" applyFont="1" applyFill="1"/>
    <xf numFmtId="0" fontId="9" fillId="0" borderId="28" xfId="0" applyFont="1" applyFill="1" applyBorder="1" applyAlignment="1">
      <alignment horizontal="center" vertical="top" wrapText="1"/>
    </xf>
    <xf numFmtId="0" fontId="10" fillId="0" borderId="0" xfId="0" applyFont="1" applyFill="1"/>
    <xf numFmtId="0" fontId="9" fillId="0" borderId="31" xfId="0" applyFont="1" applyFill="1" applyBorder="1" applyAlignment="1">
      <alignment horizontal="center" vertical="top" wrapText="1"/>
    </xf>
    <xf numFmtId="0" fontId="9" fillId="0" borderId="34" xfId="0" applyFont="1" applyFill="1" applyBorder="1" applyAlignment="1">
      <alignment horizontal="center" vertical="top" wrapText="1"/>
    </xf>
    <xf numFmtId="164" fontId="4" fillId="0" borderId="24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right" vertical="top" wrapText="1"/>
    </xf>
    <xf numFmtId="0" fontId="5" fillId="0" borderId="13" xfId="0" applyFont="1" applyFill="1" applyBorder="1" applyAlignment="1">
      <alignment horizontal="right" vertical="top" wrapText="1"/>
    </xf>
    <xf numFmtId="0" fontId="5" fillId="0" borderId="24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 wrapText="1"/>
    </xf>
    <xf numFmtId="0" fontId="5" fillId="0" borderId="9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right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3" xfId="0" applyFont="1" applyFill="1" applyBorder="1" applyAlignment="1">
      <alignment horizontal="right" vertical="top" wrapText="1"/>
    </xf>
    <xf numFmtId="0" fontId="5" fillId="0" borderId="13" xfId="0" applyFont="1" applyFill="1" applyBorder="1" applyAlignment="1">
      <alignment horizontal="right" vertical="top" wrapText="1"/>
    </xf>
    <xf numFmtId="0" fontId="5" fillId="0" borderId="24" xfId="0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164" fontId="7" fillId="0" borderId="10" xfId="0" applyNumberFormat="1" applyFont="1" applyFill="1" applyBorder="1" applyAlignment="1">
      <alignment horizontal="center" vertical="top" wrapText="1"/>
    </xf>
    <xf numFmtId="164" fontId="7" fillId="0" borderId="11" xfId="0" applyNumberFormat="1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1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164" fontId="7" fillId="0" borderId="1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164" fontId="2" fillId="0" borderId="10" xfId="0" applyNumberFormat="1" applyFont="1" applyFill="1" applyBorder="1" applyAlignment="1">
      <alignment horizontal="center" vertical="top" wrapText="1"/>
    </xf>
    <xf numFmtId="164" fontId="2" fillId="0" borderId="11" xfId="0" applyNumberFormat="1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2" fillId="0" borderId="1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0" borderId="13" xfId="0" applyNumberFormat="1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64" fontId="2" fillId="0" borderId="27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right" vertical="top" wrapText="1"/>
    </xf>
    <xf numFmtId="0" fontId="1" fillId="0" borderId="13" xfId="0" applyFont="1" applyFill="1" applyBorder="1" applyAlignment="1">
      <alignment horizontal="right" vertical="top" wrapText="1"/>
    </xf>
    <xf numFmtId="0" fontId="1" fillId="0" borderId="24" xfId="0" applyFont="1" applyFill="1" applyBorder="1" applyAlignment="1">
      <alignment horizontal="right" vertical="top" wrapText="1"/>
    </xf>
    <xf numFmtId="0" fontId="4" fillId="0" borderId="13" xfId="0" applyFont="1" applyFill="1" applyBorder="1" applyAlignment="1">
      <alignment horizontal="right" vertical="top" wrapText="1"/>
    </xf>
    <xf numFmtId="0" fontId="0" fillId="0" borderId="0" xfId="0" applyFill="1" applyAlignment="1"/>
    <xf numFmtId="0" fontId="9" fillId="0" borderId="32" xfId="0" applyFont="1" applyFill="1" applyBorder="1" applyAlignment="1">
      <alignment horizontal="left" vertical="top" wrapText="1"/>
    </xf>
    <xf numFmtId="0" fontId="10" fillId="0" borderId="32" xfId="0" applyFont="1" applyFill="1" applyBorder="1" applyAlignment="1">
      <alignment horizontal="left" vertical="top" wrapText="1"/>
    </xf>
    <xf numFmtId="0" fontId="10" fillId="0" borderId="33" xfId="0" applyFont="1" applyFill="1" applyBorder="1" applyAlignment="1">
      <alignment horizontal="left" vertical="top" wrapText="1"/>
    </xf>
    <xf numFmtId="0" fontId="9" fillId="0" borderId="35" xfId="0" applyFont="1" applyFill="1" applyBorder="1" applyAlignment="1">
      <alignment horizontal="left" vertical="top" wrapText="1"/>
    </xf>
    <xf numFmtId="0" fontId="10" fillId="0" borderId="35" xfId="0" applyFont="1" applyFill="1" applyBorder="1" applyAlignment="1">
      <alignment horizontal="left" vertical="top" wrapText="1"/>
    </xf>
    <xf numFmtId="0" fontId="10" fillId="0" borderId="36" xfId="0" applyFont="1" applyFill="1" applyBorder="1" applyAlignment="1">
      <alignment horizontal="left" vertical="top" wrapText="1"/>
    </xf>
    <xf numFmtId="0" fontId="9" fillId="0" borderId="29" xfId="0" applyFont="1" applyFill="1" applyBorder="1" applyAlignment="1">
      <alignment horizontal="left" vertical="top" wrapText="1"/>
    </xf>
    <xf numFmtId="0" fontId="10" fillId="0" borderId="29" xfId="0" applyFont="1" applyFill="1" applyBorder="1" applyAlignment="1">
      <alignment horizontal="left" vertical="top" wrapText="1"/>
    </xf>
    <xf numFmtId="0" fontId="10" fillId="0" borderId="3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center" vertical="top" wrapText="1"/>
    </xf>
    <xf numFmtId="164" fontId="3" fillId="0" borderId="12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6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2" fillId="0" borderId="12" xfId="0" applyNumberFormat="1" applyFont="1" applyBorder="1" applyAlignment="1"/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right" vertical="top" wrapText="1"/>
    </xf>
    <xf numFmtId="0" fontId="2" fillId="0" borderId="1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2"/>
  <sheetViews>
    <sheetView tabSelected="1" topLeftCell="A3" zoomScaleSheetLayoutView="115" workbookViewId="0">
      <selection activeCell="G15" sqref="G15:H15"/>
    </sheetView>
  </sheetViews>
  <sheetFormatPr defaultColWidth="8.85546875" defaultRowHeight="15" x14ac:dyDescent="0.25"/>
  <cols>
    <col min="1" max="1" width="4.28515625" customWidth="1"/>
    <col min="2" max="2" width="6.140625" customWidth="1"/>
    <col min="3" max="4" width="3.42578125" customWidth="1"/>
    <col min="5" max="5" width="3.85546875" customWidth="1"/>
    <col min="6" max="6" width="6.85546875" customWidth="1"/>
    <col min="7" max="7" width="1.42578125" customWidth="1"/>
    <col min="8" max="8" width="7.42578125" customWidth="1"/>
    <col min="9" max="9" width="14.85546875" customWidth="1"/>
    <col min="10" max="10" width="7.28515625" customWidth="1"/>
    <col min="11" max="11" width="2.7109375" customWidth="1"/>
    <col min="12" max="12" width="2" customWidth="1"/>
    <col min="13" max="13" width="4.7109375" customWidth="1"/>
    <col min="14" max="14" width="2" customWidth="1"/>
    <col min="15" max="15" width="3.28515625" customWidth="1"/>
    <col min="16" max="16" width="1.42578125" customWidth="1"/>
    <col min="17" max="17" width="23.85546875" customWidth="1"/>
  </cols>
  <sheetData>
    <row r="1" spans="1:17" s="5" customFormat="1" ht="12.75" x14ac:dyDescent="0.2">
      <c r="A1" s="5" t="s">
        <v>17</v>
      </c>
      <c r="Q1" s="7" t="s">
        <v>20</v>
      </c>
    </row>
    <row r="2" spans="1:17" s="5" customFormat="1" ht="12.75" x14ac:dyDescent="0.2">
      <c r="Q2" s="7"/>
    </row>
    <row r="3" spans="1:17" s="5" customFormat="1" ht="12.75" x14ac:dyDescent="0.2">
      <c r="Q3" s="7"/>
    </row>
    <row r="4" spans="1:17" s="5" customFormat="1" ht="12.75" x14ac:dyDescent="0.2">
      <c r="Q4" s="7"/>
    </row>
    <row r="5" spans="1:17" s="5" customFormat="1" ht="12.75" x14ac:dyDescent="0.2">
      <c r="Q5" s="7"/>
    </row>
    <row r="6" spans="1:17" s="5" customFormat="1" ht="12.75" x14ac:dyDescent="0.2">
      <c r="Q6" s="7"/>
    </row>
    <row r="7" spans="1:17" s="5" customFormat="1" ht="12.75" x14ac:dyDescent="0.2">
      <c r="Q7" s="7"/>
    </row>
    <row r="8" spans="1:17" s="5" customFormat="1" ht="12.75" x14ac:dyDescent="0.2">
      <c r="A8" s="6"/>
      <c r="B8" s="6"/>
      <c r="C8" s="6"/>
      <c r="D8" s="6"/>
      <c r="K8" s="6"/>
      <c r="L8" s="6"/>
      <c r="M8" s="6"/>
      <c r="N8" s="6"/>
      <c r="O8" s="6"/>
      <c r="Q8" s="7"/>
    </row>
    <row r="9" spans="1:17" s="5" customFormat="1" ht="12.75" x14ac:dyDescent="0.2">
      <c r="A9" s="5" t="s">
        <v>18</v>
      </c>
      <c r="K9" s="5" t="s">
        <v>18</v>
      </c>
      <c r="Q9" s="7"/>
    </row>
    <row r="10" spans="1:17" s="5" customFormat="1" ht="12.75" x14ac:dyDescent="0.2">
      <c r="A10" s="5" t="s">
        <v>19</v>
      </c>
      <c r="Q10" s="7" t="s">
        <v>19</v>
      </c>
    </row>
    <row r="11" spans="1:17" s="5" customFormat="1" ht="12.75" x14ac:dyDescent="0.2"/>
    <row r="12" spans="1:17" s="5" customFormat="1" ht="5.25" customHeight="1" x14ac:dyDescent="0.2"/>
    <row r="13" spans="1:17" s="5" customFormat="1" ht="12.75" x14ac:dyDescent="0.2">
      <c r="A13" s="5" t="s">
        <v>21</v>
      </c>
      <c r="E13" s="5" t="s">
        <v>22</v>
      </c>
    </row>
    <row r="14" spans="1:17" s="5" customFormat="1" ht="12.75" x14ac:dyDescent="0.2">
      <c r="A14" s="5" t="s">
        <v>23</v>
      </c>
      <c r="C14" s="130">
        <f>Q282</f>
        <v>3479.8139999999999</v>
      </c>
      <c r="D14" s="131"/>
      <c r="E14" s="131"/>
      <c r="F14" s="5" t="s">
        <v>24</v>
      </c>
    </row>
    <row r="15" spans="1:17" s="5" customFormat="1" ht="12.75" x14ac:dyDescent="0.2">
      <c r="A15" s="5" t="s">
        <v>25</v>
      </c>
      <c r="G15" s="132">
        <v>0</v>
      </c>
      <c r="H15" s="132"/>
      <c r="I15" s="5" t="s">
        <v>24</v>
      </c>
    </row>
    <row r="16" spans="1:17" s="5" customFormat="1" ht="12.75" x14ac:dyDescent="0.2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7" s="5" customFormat="1" ht="12.75" x14ac:dyDescent="0.2">
      <c r="A17" s="133" t="s">
        <v>26</v>
      </c>
      <c r="B17" s="133"/>
      <c r="C17" s="133"/>
      <c r="D17" s="133"/>
      <c r="E17" s="133"/>
      <c r="F17" s="133"/>
      <c r="G17" s="133"/>
      <c r="H17" s="133"/>
      <c r="I17" s="133"/>
      <c r="J17" s="133"/>
    </row>
    <row r="18" spans="1:17" s="5" customFormat="1" ht="12.75" x14ac:dyDescent="0.2"/>
    <row r="19" spans="1:17" s="5" customFormat="1" ht="12.75" x14ac:dyDescent="0.2"/>
    <row r="20" spans="1:17" ht="19.350000000000001" customHeight="1" x14ac:dyDescent="0.25">
      <c r="A20" s="134" t="s">
        <v>2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5" t="s">
        <v>4</v>
      </c>
      <c r="M20" s="135"/>
      <c r="N20" s="125"/>
      <c r="O20" s="125"/>
      <c r="P20" s="15"/>
      <c r="Q20" s="15" t="s">
        <v>1</v>
      </c>
    </row>
    <row r="21" spans="1:17" ht="19.350000000000001" customHeight="1" x14ac:dyDescent="0.25">
      <c r="A21" s="119"/>
      <c r="B21" s="119"/>
      <c r="C21" s="119"/>
      <c r="D21" s="119"/>
      <c r="E21" s="119"/>
      <c r="F21" s="119"/>
      <c r="G21" s="126" t="s">
        <v>3</v>
      </c>
      <c r="H21" s="126"/>
      <c r="I21" s="126"/>
      <c r="J21" s="126"/>
      <c r="K21" s="126"/>
      <c r="L21" s="126"/>
      <c r="M21" s="126"/>
      <c r="N21" s="126"/>
      <c r="O21" s="126"/>
      <c r="P21" s="119"/>
      <c r="Q21" s="119"/>
    </row>
    <row r="22" spans="1:17" ht="6.75" customHeight="1" x14ac:dyDescent="0.25">
      <c r="P22" s="119"/>
      <c r="Q22" s="119"/>
    </row>
    <row r="23" spans="1:17" s="4" customFormat="1" ht="16.5" customHeight="1" x14ac:dyDescent="0.25">
      <c r="A23" s="127" t="s">
        <v>44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8"/>
      <c r="L23" s="128"/>
      <c r="M23" s="128"/>
      <c r="N23" s="128"/>
      <c r="O23" s="128"/>
      <c r="P23" s="128"/>
      <c r="Q23" s="128"/>
    </row>
    <row r="24" spans="1:17" s="4" customFormat="1" ht="42" customHeight="1" x14ac:dyDescent="0.25">
      <c r="A24" s="127" t="s">
        <v>45</v>
      </c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</row>
    <row r="25" spans="1:17" s="4" customFormat="1" ht="13.5" customHeight="1" x14ac:dyDescent="0.25">
      <c r="A25" s="117" t="s">
        <v>27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</row>
    <row r="26" spans="1:17" s="4" customFormat="1" ht="13.5" customHeight="1" x14ac:dyDescent="0.2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</row>
    <row r="27" spans="1:17" ht="15" customHeight="1" x14ac:dyDescent="0.25">
      <c r="A27" s="119" t="s">
        <v>13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</row>
    <row r="28" spans="1:17" ht="15" customHeight="1" x14ac:dyDescent="0.25">
      <c r="A28" s="119" t="s">
        <v>277</v>
      </c>
      <c r="B28" s="119"/>
      <c r="C28" s="119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</row>
    <row r="29" spans="1:17" ht="15" customHeight="1" x14ac:dyDescent="0.25">
      <c r="A29" s="121" t="s">
        <v>32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0"/>
      <c r="P29" s="120"/>
      <c r="Q29" s="120"/>
    </row>
    <row r="30" spans="1:17" ht="19.5" customHeight="1" x14ac:dyDescent="0.25">
      <c r="A30" s="121" t="s">
        <v>33</v>
      </c>
      <c r="B30" s="121"/>
      <c r="C30" s="121"/>
      <c r="D30" s="121"/>
      <c r="E30" s="121"/>
      <c r="F30" s="122"/>
      <c r="G30" s="122"/>
      <c r="H30" s="122"/>
      <c r="I30" s="122"/>
      <c r="J30" s="122"/>
      <c r="K30" s="122"/>
      <c r="L30" s="122"/>
      <c r="M30" s="122"/>
      <c r="N30" s="122"/>
      <c r="O30" s="123"/>
      <c r="P30" s="123"/>
      <c r="Q30" s="123"/>
    </row>
    <row r="31" spans="1:17" s="17" customFormat="1" ht="17.25" customHeight="1" x14ac:dyDescent="0.25">
      <c r="A31" s="124" t="s">
        <v>28</v>
      </c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</row>
    <row r="32" spans="1:17" s="17" customFormat="1" ht="15" customHeight="1" x14ac:dyDescent="0.25">
      <c r="A32" s="106">
        <f>C14</f>
        <v>3479.8139999999999</v>
      </c>
      <c r="B32" s="107"/>
      <c r="C32" s="107"/>
      <c r="D32" s="12" t="s">
        <v>24</v>
      </c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1"/>
      <c r="P32" s="11"/>
      <c r="Q32" s="11"/>
    </row>
    <row r="33" spans="1:17" s="17" customFormat="1" ht="3.75" customHeight="1" x14ac:dyDescent="0.25">
      <c r="A33" s="9"/>
      <c r="B33" s="9"/>
      <c r="C33" s="9"/>
      <c r="D33" s="9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1"/>
      <c r="P33" s="11"/>
      <c r="Q33" s="11"/>
    </row>
    <row r="34" spans="1:17" ht="15" customHeight="1" thickBot="1" x14ac:dyDescent="0.3">
      <c r="A34" s="16"/>
      <c r="B34" s="16"/>
      <c r="C34" s="16"/>
      <c r="D34" s="16"/>
      <c r="E34" s="16"/>
      <c r="F34" s="8"/>
      <c r="G34" s="8"/>
      <c r="H34" s="8"/>
      <c r="I34" s="8"/>
      <c r="J34" s="8"/>
      <c r="K34" s="8"/>
      <c r="L34" s="8"/>
      <c r="M34" s="8"/>
      <c r="N34" s="8"/>
      <c r="O34" s="15"/>
      <c r="P34" s="15"/>
      <c r="Q34" s="15" t="s">
        <v>14</v>
      </c>
    </row>
    <row r="35" spans="1:17" s="18" customFormat="1" ht="62.25" customHeight="1" thickBot="1" x14ac:dyDescent="0.3">
      <c r="A35" s="108" t="s">
        <v>5</v>
      </c>
      <c r="B35" s="108" t="s">
        <v>6</v>
      </c>
      <c r="C35" s="110"/>
      <c r="D35" s="110"/>
      <c r="E35" s="110"/>
      <c r="F35" s="110"/>
      <c r="G35" s="110"/>
      <c r="H35" s="108" t="s">
        <v>7</v>
      </c>
      <c r="I35" s="110"/>
      <c r="J35" s="108" t="s">
        <v>8</v>
      </c>
      <c r="K35" s="110"/>
      <c r="L35" s="110"/>
      <c r="M35" s="110"/>
      <c r="N35" s="110"/>
      <c r="O35" s="110"/>
      <c r="P35" s="110"/>
      <c r="Q35" s="112" t="s">
        <v>9</v>
      </c>
    </row>
    <row r="36" spans="1:17" s="18" customFormat="1" ht="65.25" customHeight="1" thickBot="1" x14ac:dyDescent="0.3">
      <c r="A36" s="109"/>
      <c r="B36" s="109"/>
      <c r="C36" s="111"/>
      <c r="D36" s="111"/>
      <c r="E36" s="111"/>
      <c r="F36" s="111"/>
      <c r="G36" s="111"/>
      <c r="H36" s="109"/>
      <c r="I36" s="111"/>
      <c r="J36" s="114" t="s">
        <v>10</v>
      </c>
      <c r="K36" s="115"/>
      <c r="L36" s="115"/>
      <c r="M36" s="115"/>
      <c r="N36" s="115"/>
      <c r="O36" s="115"/>
      <c r="P36" s="116"/>
      <c r="Q36" s="113"/>
    </row>
    <row r="37" spans="1:17" s="18" customFormat="1" ht="19.350000000000001" customHeight="1" x14ac:dyDescent="0.25">
      <c r="A37" s="19">
        <v>1</v>
      </c>
      <c r="B37" s="104">
        <v>2</v>
      </c>
      <c r="C37" s="105"/>
      <c r="D37" s="105"/>
      <c r="E37" s="105"/>
      <c r="F37" s="105"/>
      <c r="G37" s="105"/>
      <c r="H37" s="104">
        <v>3</v>
      </c>
      <c r="I37" s="105"/>
      <c r="J37" s="104">
        <v>4</v>
      </c>
      <c r="K37" s="105"/>
      <c r="L37" s="105"/>
      <c r="M37" s="105"/>
      <c r="N37" s="105"/>
      <c r="O37" s="105"/>
      <c r="P37" s="105"/>
      <c r="Q37" s="20">
        <v>5</v>
      </c>
    </row>
    <row r="38" spans="1:17" s="21" customFormat="1" ht="21.75" customHeight="1" x14ac:dyDescent="0.25">
      <c r="A38" s="61" t="s">
        <v>52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3"/>
    </row>
    <row r="39" spans="1:17" s="18" customFormat="1" ht="41.25" customHeight="1" x14ac:dyDescent="0.25">
      <c r="A39" s="85" t="s">
        <v>275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7"/>
    </row>
    <row r="40" spans="1:17" s="18" customFormat="1" ht="25.5" hidden="1" customHeight="1" x14ac:dyDescent="0.25">
      <c r="A40" s="64"/>
      <c r="B40" s="64"/>
      <c r="C40" s="66"/>
      <c r="D40" s="66"/>
      <c r="E40" s="66"/>
      <c r="F40" s="66"/>
      <c r="G40" s="66"/>
      <c r="H40" s="67"/>
      <c r="I40" s="68"/>
      <c r="J40" s="67"/>
      <c r="K40" s="71"/>
      <c r="L40" s="71"/>
      <c r="M40" s="71"/>
      <c r="N40" s="71"/>
      <c r="O40" s="71"/>
      <c r="P40" s="71"/>
      <c r="Q40" s="72"/>
    </row>
    <row r="41" spans="1:17" s="18" customFormat="1" ht="69.75" hidden="1" customHeight="1" x14ac:dyDescent="0.25">
      <c r="A41" s="65"/>
      <c r="B41" s="65"/>
      <c r="C41" s="74"/>
      <c r="D41" s="74"/>
      <c r="E41" s="74"/>
      <c r="F41" s="74"/>
      <c r="G41" s="74"/>
      <c r="H41" s="69"/>
      <c r="I41" s="70"/>
      <c r="J41" s="75"/>
      <c r="K41" s="76"/>
      <c r="L41" s="76"/>
      <c r="M41" s="77"/>
      <c r="N41" s="78"/>
      <c r="O41" s="78"/>
      <c r="P41" s="78"/>
      <c r="Q41" s="73"/>
    </row>
    <row r="42" spans="1:17" s="22" customFormat="1" ht="25.5" hidden="1" customHeight="1" x14ac:dyDescent="0.25">
      <c r="A42" s="46"/>
      <c r="B42" s="46"/>
      <c r="C42" s="48"/>
      <c r="D42" s="48"/>
      <c r="E42" s="48"/>
      <c r="F42" s="48"/>
      <c r="G42" s="48"/>
      <c r="H42" s="49"/>
      <c r="I42" s="50"/>
      <c r="J42" s="49"/>
      <c r="K42" s="53"/>
      <c r="L42" s="53"/>
      <c r="M42" s="53"/>
      <c r="N42" s="53"/>
      <c r="O42" s="53"/>
      <c r="P42" s="53"/>
      <c r="Q42" s="54"/>
    </row>
    <row r="43" spans="1:17" s="22" customFormat="1" ht="58.5" hidden="1" customHeight="1" x14ac:dyDescent="0.25">
      <c r="A43" s="47"/>
      <c r="B43" s="47"/>
      <c r="C43" s="56"/>
      <c r="D43" s="56"/>
      <c r="E43" s="56"/>
      <c r="F43" s="56"/>
      <c r="G43" s="56"/>
      <c r="H43" s="51"/>
      <c r="I43" s="52"/>
      <c r="J43" s="57"/>
      <c r="K43" s="58"/>
      <c r="L43" s="58"/>
      <c r="M43" s="59"/>
      <c r="N43" s="60"/>
      <c r="O43" s="60"/>
      <c r="P43" s="60"/>
      <c r="Q43" s="55"/>
    </row>
    <row r="44" spans="1:17" s="18" customFormat="1" ht="25.5" hidden="1" customHeight="1" x14ac:dyDescent="0.25">
      <c r="A44" s="64"/>
      <c r="B44" s="64"/>
      <c r="C44" s="66"/>
      <c r="D44" s="66"/>
      <c r="E44" s="66"/>
      <c r="F44" s="66"/>
      <c r="G44" s="66"/>
      <c r="H44" s="67"/>
      <c r="I44" s="68"/>
      <c r="J44" s="67"/>
      <c r="K44" s="71"/>
      <c r="L44" s="71"/>
      <c r="M44" s="71"/>
      <c r="N44" s="71"/>
      <c r="O44" s="71"/>
      <c r="P44" s="71"/>
      <c r="Q44" s="72"/>
    </row>
    <row r="45" spans="1:17" s="18" customFormat="1" ht="106.5" hidden="1" customHeight="1" x14ac:dyDescent="0.25">
      <c r="A45" s="65"/>
      <c r="B45" s="65"/>
      <c r="C45" s="74"/>
      <c r="D45" s="74"/>
      <c r="E45" s="74"/>
      <c r="F45" s="74"/>
      <c r="G45" s="74"/>
      <c r="H45" s="69"/>
      <c r="I45" s="70"/>
      <c r="J45" s="75"/>
      <c r="K45" s="76"/>
      <c r="L45" s="76"/>
      <c r="M45" s="77"/>
      <c r="N45" s="78"/>
      <c r="O45" s="78"/>
      <c r="P45" s="78"/>
      <c r="Q45" s="73"/>
    </row>
    <row r="46" spans="1:17" s="18" customFormat="1" ht="25.5" hidden="1" customHeight="1" x14ac:dyDescent="0.25">
      <c r="A46" s="64"/>
      <c r="B46" s="64"/>
      <c r="C46" s="66"/>
      <c r="D46" s="66"/>
      <c r="E46" s="66"/>
      <c r="F46" s="66"/>
      <c r="G46" s="66"/>
      <c r="H46" s="67"/>
      <c r="I46" s="68"/>
      <c r="J46" s="67"/>
      <c r="K46" s="71"/>
      <c r="L46" s="71"/>
      <c r="M46" s="71"/>
      <c r="N46" s="71"/>
      <c r="O46" s="71"/>
      <c r="P46" s="71"/>
      <c r="Q46" s="72"/>
    </row>
    <row r="47" spans="1:17" s="18" customFormat="1" ht="76.5" hidden="1" customHeight="1" x14ac:dyDescent="0.25">
      <c r="A47" s="65"/>
      <c r="B47" s="65"/>
      <c r="C47" s="74"/>
      <c r="D47" s="74"/>
      <c r="E47" s="74"/>
      <c r="F47" s="74"/>
      <c r="G47" s="74"/>
      <c r="H47" s="69"/>
      <c r="I47" s="70"/>
      <c r="J47" s="75"/>
      <c r="K47" s="76"/>
      <c r="L47" s="76"/>
      <c r="M47" s="77"/>
      <c r="N47" s="78"/>
      <c r="O47" s="78"/>
      <c r="P47" s="78"/>
      <c r="Q47" s="73"/>
    </row>
    <row r="48" spans="1:17" s="18" customFormat="1" ht="25.5" hidden="1" customHeight="1" x14ac:dyDescent="0.25">
      <c r="A48" s="64"/>
      <c r="B48" s="64"/>
      <c r="C48" s="66"/>
      <c r="D48" s="66"/>
      <c r="E48" s="66"/>
      <c r="F48" s="66"/>
      <c r="G48" s="66"/>
      <c r="H48" s="67"/>
      <c r="I48" s="68"/>
      <c r="J48" s="67"/>
      <c r="K48" s="71"/>
      <c r="L48" s="71"/>
      <c r="M48" s="71"/>
      <c r="N48" s="71"/>
      <c r="O48" s="71"/>
      <c r="P48" s="71"/>
      <c r="Q48" s="72"/>
    </row>
    <row r="49" spans="1:17" s="18" customFormat="1" ht="74.25" hidden="1" customHeight="1" x14ac:dyDescent="0.25">
      <c r="A49" s="65"/>
      <c r="B49" s="65"/>
      <c r="C49" s="74"/>
      <c r="D49" s="74"/>
      <c r="E49" s="74"/>
      <c r="F49" s="74"/>
      <c r="G49" s="74"/>
      <c r="H49" s="69"/>
      <c r="I49" s="70"/>
      <c r="J49" s="75"/>
      <c r="K49" s="76"/>
      <c r="L49" s="76"/>
      <c r="M49" s="77"/>
      <c r="N49" s="78"/>
      <c r="O49" s="78"/>
      <c r="P49" s="78"/>
      <c r="Q49" s="73"/>
    </row>
    <row r="50" spans="1:17" s="18" customFormat="1" ht="25.5" hidden="1" customHeight="1" x14ac:dyDescent="0.25">
      <c r="A50" s="64"/>
      <c r="B50" s="64"/>
      <c r="C50" s="66"/>
      <c r="D50" s="66"/>
      <c r="E50" s="66"/>
      <c r="F50" s="66"/>
      <c r="G50" s="66"/>
      <c r="H50" s="67"/>
      <c r="I50" s="68"/>
      <c r="J50" s="67"/>
      <c r="K50" s="71"/>
      <c r="L50" s="71"/>
      <c r="M50" s="71"/>
      <c r="N50" s="71"/>
      <c r="O50" s="71"/>
      <c r="P50" s="71"/>
      <c r="Q50" s="72"/>
    </row>
    <row r="51" spans="1:17" s="18" customFormat="1" ht="63" hidden="1" customHeight="1" x14ac:dyDescent="0.25">
      <c r="A51" s="65"/>
      <c r="B51" s="65"/>
      <c r="C51" s="74"/>
      <c r="D51" s="74"/>
      <c r="E51" s="74"/>
      <c r="F51" s="74"/>
      <c r="G51" s="74"/>
      <c r="H51" s="69"/>
      <c r="I51" s="70"/>
      <c r="J51" s="75"/>
      <c r="K51" s="76"/>
      <c r="L51" s="76"/>
      <c r="M51" s="77"/>
      <c r="N51" s="78"/>
      <c r="O51" s="78"/>
      <c r="P51" s="78"/>
      <c r="Q51" s="73"/>
    </row>
    <row r="52" spans="1:17" s="18" customFormat="1" ht="25.5" hidden="1" customHeight="1" x14ac:dyDescent="0.25">
      <c r="A52" s="64"/>
      <c r="B52" s="64"/>
      <c r="C52" s="66"/>
      <c r="D52" s="66"/>
      <c r="E52" s="66"/>
      <c r="F52" s="66"/>
      <c r="G52" s="66"/>
      <c r="H52" s="67"/>
      <c r="I52" s="68"/>
      <c r="J52" s="67"/>
      <c r="K52" s="71"/>
      <c r="L52" s="71"/>
      <c r="M52" s="71"/>
      <c r="N52" s="71"/>
      <c r="O52" s="71"/>
      <c r="P52" s="71"/>
      <c r="Q52" s="72"/>
    </row>
    <row r="53" spans="1:17" s="18" customFormat="1" ht="74.25" hidden="1" customHeight="1" x14ac:dyDescent="0.25">
      <c r="A53" s="65"/>
      <c r="B53" s="65"/>
      <c r="C53" s="74"/>
      <c r="D53" s="74"/>
      <c r="E53" s="74"/>
      <c r="F53" s="74"/>
      <c r="G53" s="74"/>
      <c r="H53" s="69"/>
      <c r="I53" s="70"/>
      <c r="J53" s="75"/>
      <c r="K53" s="76"/>
      <c r="L53" s="76"/>
      <c r="M53" s="77"/>
      <c r="N53" s="78"/>
      <c r="O53" s="78"/>
      <c r="P53" s="78"/>
      <c r="Q53" s="73"/>
    </row>
    <row r="54" spans="1:17" s="18" customFormat="1" ht="35.25" hidden="1" customHeight="1" x14ac:dyDescent="0.25">
      <c r="A54" s="64"/>
      <c r="B54" s="64"/>
      <c r="C54" s="66"/>
      <c r="D54" s="66"/>
      <c r="E54" s="66"/>
      <c r="F54" s="66"/>
      <c r="G54" s="66"/>
      <c r="H54" s="67"/>
      <c r="I54" s="68"/>
      <c r="J54" s="67"/>
      <c r="K54" s="71"/>
      <c r="L54" s="71"/>
      <c r="M54" s="71"/>
      <c r="N54" s="71"/>
      <c r="O54" s="71"/>
      <c r="P54" s="71"/>
      <c r="Q54" s="72"/>
    </row>
    <row r="55" spans="1:17" s="18" customFormat="1" ht="73.5" hidden="1" customHeight="1" x14ac:dyDescent="0.25">
      <c r="A55" s="65"/>
      <c r="B55" s="65"/>
      <c r="C55" s="74"/>
      <c r="D55" s="74"/>
      <c r="E55" s="74"/>
      <c r="F55" s="74"/>
      <c r="G55" s="74"/>
      <c r="H55" s="69"/>
      <c r="I55" s="70"/>
      <c r="J55" s="75"/>
      <c r="K55" s="76"/>
      <c r="L55" s="76"/>
      <c r="M55" s="77"/>
      <c r="N55" s="78"/>
      <c r="O55" s="78"/>
      <c r="P55" s="78"/>
      <c r="Q55" s="73"/>
    </row>
    <row r="56" spans="1:17" s="18" customFormat="1" ht="34.5" hidden="1" customHeight="1" x14ac:dyDescent="0.25">
      <c r="A56" s="64"/>
      <c r="B56" s="64"/>
      <c r="C56" s="66"/>
      <c r="D56" s="66"/>
      <c r="E56" s="66"/>
      <c r="F56" s="66"/>
      <c r="G56" s="66"/>
      <c r="H56" s="67"/>
      <c r="I56" s="68"/>
      <c r="J56" s="67"/>
      <c r="K56" s="71"/>
      <c r="L56" s="71"/>
      <c r="M56" s="71"/>
      <c r="N56" s="71"/>
      <c r="O56" s="71"/>
      <c r="P56" s="71"/>
      <c r="Q56" s="72"/>
    </row>
    <row r="57" spans="1:17" s="18" customFormat="1" ht="68.25" hidden="1" customHeight="1" x14ac:dyDescent="0.25">
      <c r="A57" s="65"/>
      <c r="B57" s="65"/>
      <c r="C57" s="74"/>
      <c r="D57" s="74"/>
      <c r="E57" s="74"/>
      <c r="F57" s="74"/>
      <c r="G57" s="74"/>
      <c r="H57" s="69"/>
      <c r="I57" s="70"/>
      <c r="J57" s="75"/>
      <c r="K57" s="76"/>
      <c r="L57" s="76"/>
      <c r="M57" s="77"/>
      <c r="N57" s="78"/>
      <c r="O57" s="78"/>
      <c r="P57" s="78"/>
      <c r="Q57" s="73"/>
    </row>
    <row r="58" spans="1:17" s="18" customFormat="1" ht="21" customHeight="1" x14ac:dyDescent="0.25">
      <c r="A58" s="85" t="s">
        <v>35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7"/>
    </row>
    <row r="59" spans="1:17" s="24" customFormat="1" ht="13.5" customHeight="1" x14ac:dyDescent="0.2">
      <c r="A59" s="23">
        <v>1</v>
      </c>
      <c r="B59" s="101" t="s">
        <v>36</v>
      </c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3"/>
    </row>
    <row r="60" spans="1:17" s="24" customFormat="1" ht="13.5" customHeight="1" x14ac:dyDescent="0.2">
      <c r="A60" s="25">
        <v>2</v>
      </c>
      <c r="B60" s="95" t="s">
        <v>37</v>
      </c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7"/>
    </row>
    <row r="61" spans="1:17" s="24" customFormat="1" ht="13.5" customHeight="1" x14ac:dyDescent="0.2">
      <c r="A61" s="25">
        <v>3</v>
      </c>
      <c r="B61" s="95" t="s">
        <v>38</v>
      </c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7"/>
    </row>
    <row r="62" spans="1:17" s="24" customFormat="1" ht="13.5" customHeight="1" x14ac:dyDescent="0.2">
      <c r="A62" s="25">
        <v>4</v>
      </c>
      <c r="B62" s="95" t="s">
        <v>39</v>
      </c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7"/>
    </row>
    <row r="63" spans="1:17" s="24" customFormat="1" ht="13.5" customHeight="1" x14ac:dyDescent="0.2">
      <c r="A63" s="25">
        <v>5</v>
      </c>
      <c r="B63" s="95" t="s">
        <v>40</v>
      </c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7"/>
    </row>
    <row r="64" spans="1:17" s="24" customFormat="1" ht="13.5" customHeight="1" x14ac:dyDescent="0.2">
      <c r="A64" s="25">
        <v>6</v>
      </c>
      <c r="B64" s="95" t="s">
        <v>41</v>
      </c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7"/>
    </row>
    <row r="65" spans="1:17" s="24" customFormat="1" ht="13.5" customHeight="1" x14ac:dyDescent="0.2">
      <c r="A65" s="25">
        <v>7</v>
      </c>
      <c r="B65" s="95" t="s">
        <v>42</v>
      </c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7"/>
    </row>
    <row r="66" spans="1:17" s="24" customFormat="1" ht="13.5" customHeight="1" x14ac:dyDescent="0.2">
      <c r="A66" s="26">
        <v>8</v>
      </c>
      <c r="B66" s="98" t="s">
        <v>43</v>
      </c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100"/>
    </row>
    <row r="67" spans="1:17" s="18" customFormat="1" ht="42" customHeight="1" x14ac:dyDescent="0.25">
      <c r="A67" s="64">
        <v>1</v>
      </c>
      <c r="B67" s="64" t="s">
        <v>15</v>
      </c>
      <c r="C67" s="66"/>
      <c r="D67" s="66"/>
      <c r="E67" s="66"/>
      <c r="F67" s="66"/>
      <c r="G67" s="66"/>
      <c r="H67" s="67" t="s">
        <v>46</v>
      </c>
      <c r="I67" s="68"/>
      <c r="J67" s="67" t="s">
        <v>48</v>
      </c>
      <c r="K67" s="71"/>
      <c r="L67" s="71"/>
      <c r="M67" s="71"/>
      <c r="N67" s="71"/>
      <c r="O67" s="71"/>
      <c r="P67" s="71"/>
      <c r="Q67" s="72">
        <f>ROUND(M68*J68,3)</f>
        <v>59.813000000000002</v>
      </c>
    </row>
    <row r="68" spans="1:17" s="18" customFormat="1" ht="73.5" customHeight="1" x14ac:dyDescent="0.25">
      <c r="A68" s="65"/>
      <c r="B68" s="65" t="s">
        <v>47</v>
      </c>
      <c r="C68" s="74"/>
      <c r="D68" s="74"/>
      <c r="E68" s="74"/>
      <c r="F68" s="74"/>
      <c r="G68" s="74"/>
      <c r="H68" s="69"/>
      <c r="I68" s="70"/>
      <c r="J68" s="75">
        <v>1</v>
      </c>
      <c r="K68" s="76"/>
      <c r="L68" s="76"/>
      <c r="M68" s="77">
        <f>ROUND(1*(1.29*1.3+2.41*1.3+3.4*1.3+4.42*1.3+2.97+1.83+2.36+0.94)*2592/1000,3)</f>
        <v>59.813000000000002</v>
      </c>
      <c r="N68" s="78"/>
      <c r="O68" s="78"/>
      <c r="P68" s="78"/>
      <c r="Q68" s="73"/>
    </row>
    <row r="69" spans="1:17" s="18" customFormat="1" ht="42" customHeight="1" x14ac:dyDescent="0.25">
      <c r="A69" s="64">
        <v>2</v>
      </c>
      <c r="B69" s="64" t="s">
        <v>15</v>
      </c>
      <c r="C69" s="66"/>
      <c r="D69" s="66"/>
      <c r="E69" s="66"/>
      <c r="F69" s="66"/>
      <c r="G69" s="66"/>
      <c r="H69" s="67" t="s">
        <v>51</v>
      </c>
      <c r="I69" s="68"/>
      <c r="J69" s="67" t="s">
        <v>50</v>
      </c>
      <c r="K69" s="71"/>
      <c r="L69" s="71"/>
      <c r="M69" s="71"/>
      <c r="N69" s="71"/>
      <c r="O69" s="71"/>
      <c r="P69" s="71"/>
      <c r="Q69" s="72">
        <f>ROUND(M70*J70,3)</f>
        <v>25.428000000000001</v>
      </c>
    </row>
    <row r="70" spans="1:17" s="18" customFormat="1" ht="147.75" customHeight="1" x14ac:dyDescent="0.25">
      <c r="A70" s="65"/>
      <c r="B70" s="65" t="s">
        <v>49</v>
      </c>
      <c r="C70" s="74"/>
      <c r="D70" s="74"/>
      <c r="E70" s="74"/>
      <c r="F70" s="74"/>
      <c r="G70" s="74"/>
      <c r="H70" s="69"/>
      <c r="I70" s="70"/>
      <c r="J70" s="75">
        <v>1</v>
      </c>
      <c r="K70" s="76"/>
      <c r="L70" s="76"/>
      <c r="M70" s="77">
        <f>ROUND(1*(1.29+2.41+3.4+4.42+2.97+1.83+2.36+0.94)*0.5*2592/1000,3)</f>
        <v>25.428000000000001</v>
      </c>
      <c r="N70" s="78"/>
      <c r="O70" s="78"/>
      <c r="P70" s="78"/>
      <c r="Q70" s="73"/>
    </row>
    <row r="71" spans="1:17" s="28" customFormat="1" ht="19.350000000000001" customHeight="1" x14ac:dyDescent="0.25">
      <c r="A71" s="43" t="s">
        <v>30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5"/>
      <c r="Q71" s="27">
        <f>SUM(Q67:Q70)</f>
        <v>85.241</v>
      </c>
    </row>
    <row r="72" spans="1:17" s="21" customFormat="1" ht="21.75" customHeight="1" x14ac:dyDescent="0.25">
      <c r="A72" s="61" t="s">
        <v>89</v>
      </c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3"/>
    </row>
    <row r="73" spans="1:17" s="18" customFormat="1" ht="54.75" hidden="1" customHeight="1" x14ac:dyDescent="0.25">
      <c r="A73" s="85" t="s">
        <v>53</v>
      </c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7"/>
    </row>
    <row r="74" spans="1:17" s="18" customFormat="1" ht="25.5" hidden="1" customHeight="1" x14ac:dyDescent="0.25">
      <c r="A74" s="64"/>
      <c r="B74" s="64"/>
      <c r="C74" s="66"/>
      <c r="D74" s="66"/>
      <c r="E74" s="66"/>
      <c r="F74" s="66"/>
      <c r="G74" s="66"/>
      <c r="H74" s="67"/>
      <c r="I74" s="68"/>
      <c r="J74" s="67"/>
      <c r="K74" s="71"/>
      <c r="L74" s="71"/>
      <c r="M74" s="71"/>
      <c r="N74" s="71"/>
      <c r="O74" s="71"/>
      <c r="P74" s="71"/>
      <c r="Q74" s="72"/>
    </row>
    <row r="75" spans="1:17" s="18" customFormat="1" ht="69.75" hidden="1" customHeight="1" x14ac:dyDescent="0.25">
      <c r="A75" s="65"/>
      <c r="B75" s="65"/>
      <c r="C75" s="74"/>
      <c r="D75" s="74"/>
      <c r="E75" s="74"/>
      <c r="F75" s="74"/>
      <c r="G75" s="74"/>
      <c r="H75" s="69"/>
      <c r="I75" s="70"/>
      <c r="J75" s="75"/>
      <c r="K75" s="76"/>
      <c r="L75" s="76"/>
      <c r="M75" s="77"/>
      <c r="N75" s="78"/>
      <c r="O75" s="78"/>
      <c r="P75" s="78"/>
      <c r="Q75" s="73"/>
    </row>
    <row r="76" spans="1:17" s="22" customFormat="1" ht="25.5" hidden="1" customHeight="1" x14ac:dyDescent="0.25">
      <c r="A76" s="46"/>
      <c r="B76" s="46"/>
      <c r="C76" s="48"/>
      <c r="D76" s="48"/>
      <c r="E76" s="48"/>
      <c r="F76" s="48"/>
      <c r="G76" s="48"/>
      <c r="H76" s="49"/>
      <c r="I76" s="50"/>
      <c r="J76" s="49"/>
      <c r="K76" s="53"/>
      <c r="L76" s="53"/>
      <c r="M76" s="53"/>
      <c r="N76" s="53"/>
      <c r="O76" s="53"/>
      <c r="P76" s="53"/>
      <c r="Q76" s="54"/>
    </row>
    <row r="77" spans="1:17" s="22" customFormat="1" ht="58.5" hidden="1" customHeight="1" x14ac:dyDescent="0.25">
      <c r="A77" s="47"/>
      <c r="B77" s="47"/>
      <c r="C77" s="56"/>
      <c r="D77" s="56"/>
      <c r="E77" s="56"/>
      <c r="F77" s="56"/>
      <c r="G77" s="56"/>
      <c r="H77" s="51"/>
      <c r="I77" s="52"/>
      <c r="J77" s="57"/>
      <c r="K77" s="58"/>
      <c r="L77" s="58"/>
      <c r="M77" s="59"/>
      <c r="N77" s="60"/>
      <c r="O77" s="60"/>
      <c r="P77" s="60"/>
      <c r="Q77" s="55"/>
    </row>
    <row r="78" spans="1:17" s="18" customFormat="1" ht="25.5" hidden="1" customHeight="1" x14ac:dyDescent="0.25">
      <c r="A78" s="64"/>
      <c r="B78" s="64"/>
      <c r="C78" s="66"/>
      <c r="D78" s="66"/>
      <c r="E78" s="66"/>
      <c r="F78" s="66"/>
      <c r="G78" s="66"/>
      <c r="H78" s="67"/>
      <c r="I78" s="68"/>
      <c r="J78" s="67"/>
      <c r="K78" s="71"/>
      <c r="L78" s="71"/>
      <c r="M78" s="71"/>
      <c r="N78" s="71"/>
      <c r="O78" s="71"/>
      <c r="P78" s="71"/>
      <c r="Q78" s="72"/>
    </row>
    <row r="79" spans="1:17" s="18" customFormat="1" ht="106.5" hidden="1" customHeight="1" x14ac:dyDescent="0.25">
      <c r="A79" s="65"/>
      <c r="B79" s="65"/>
      <c r="C79" s="74"/>
      <c r="D79" s="74"/>
      <c r="E79" s="74"/>
      <c r="F79" s="74"/>
      <c r="G79" s="74"/>
      <c r="H79" s="69"/>
      <c r="I79" s="70"/>
      <c r="J79" s="75"/>
      <c r="K79" s="76"/>
      <c r="L79" s="76"/>
      <c r="M79" s="77"/>
      <c r="N79" s="78"/>
      <c r="O79" s="78"/>
      <c r="P79" s="78"/>
      <c r="Q79" s="73"/>
    </row>
    <row r="80" spans="1:17" s="18" customFormat="1" ht="25.5" hidden="1" customHeight="1" x14ac:dyDescent="0.25">
      <c r="A80" s="64"/>
      <c r="B80" s="64"/>
      <c r="C80" s="66"/>
      <c r="D80" s="66"/>
      <c r="E80" s="66"/>
      <c r="F80" s="66"/>
      <c r="G80" s="66"/>
      <c r="H80" s="67"/>
      <c r="I80" s="68"/>
      <c r="J80" s="67"/>
      <c r="K80" s="71"/>
      <c r="L80" s="71"/>
      <c r="M80" s="71"/>
      <c r="N80" s="71"/>
      <c r="O80" s="71"/>
      <c r="P80" s="71"/>
      <c r="Q80" s="72"/>
    </row>
    <row r="81" spans="1:17" s="18" customFormat="1" ht="76.5" hidden="1" customHeight="1" x14ac:dyDescent="0.25">
      <c r="A81" s="65"/>
      <c r="B81" s="65"/>
      <c r="C81" s="74"/>
      <c r="D81" s="74"/>
      <c r="E81" s="74"/>
      <c r="F81" s="74"/>
      <c r="G81" s="74"/>
      <c r="H81" s="69"/>
      <c r="I81" s="70"/>
      <c r="J81" s="75"/>
      <c r="K81" s="76"/>
      <c r="L81" s="76"/>
      <c r="M81" s="77"/>
      <c r="N81" s="78"/>
      <c r="O81" s="78"/>
      <c r="P81" s="78"/>
      <c r="Q81" s="73"/>
    </row>
    <row r="82" spans="1:17" s="18" customFormat="1" ht="25.5" hidden="1" customHeight="1" x14ac:dyDescent="0.25">
      <c r="A82" s="64"/>
      <c r="B82" s="64"/>
      <c r="C82" s="66"/>
      <c r="D82" s="66"/>
      <c r="E82" s="66"/>
      <c r="F82" s="66"/>
      <c r="G82" s="66"/>
      <c r="H82" s="67"/>
      <c r="I82" s="68"/>
      <c r="J82" s="67"/>
      <c r="K82" s="71"/>
      <c r="L82" s="71"/>
      <c r="M82" s="71"/>
      <c r="N82" s="71"/>
      <c r="O82" s="71"/>
      <c r="P82" s="71"/>
      <c r="Q82" s="72"/>
    </row>
    <row r="83" spans="1:17" s="18" customFormat="1" ht="74.25" hidden="1" customHeight="1" x14ac:dyDescent="0.25">
      <c r="A83" s="65"/>
      <c r="B83" s="65"/>
      <c r="C83" s="74"/>
      <c r="D83" s="74"/>
      <c r="E83" s="74"/>
      <c r="F83" s="74"/>
      <c r="G83" s="74"/>
      <c r="H83" s="69"/>
      <c r="I83" s="70"/>
      <c r="J83" s="75"/>
      <c r="K83" s="76"/>
      <c r="L83" s="76"/>
      <c r="M83" s="77"/>
      <c r="N83" s="78"/>
      <c r="O83" s="78"/>
      <c r="P83" s="78"/>
      <c r="Q83" s="73"/>
    </row>
    <row r="84" spans="1:17" s="18" customFormat="1" ht="25.5" hidden="1" customHeight="1" x14ac:dyDescent="0.25">
      <c r="A84" s="64"/>
      <c r="B84" s="64"/>
      <c r="C84" s="66"/>
      <c r="D84" s="66"/>
      <c r="E84" s="66"/>
      <c r="F84" s="66"/>
      <c r="G84" s="66"/>
      <c r="H84" s="67"/>
      <c r="I84" s="68"/>
      <c r="J84" s="67"/>
      <c r="K84" s="71"/>
      <c r="L84" s="71"/>
      <c r="M84" s="71"/>
      <c r="N84" s="71"/>
      <c r="O84" s="71"/>
      <c r="P84" s="71"/>
      <c r="Q84" s="72"/>
    </row>
    <row r="85" spans="1:17" s="18" customFormat="1" ht="63" hidden="1" customHeight="1" x14ac:dyDescent="0.25">
      <c r="A85" s="65"/>
      <c r="B85" s="65"/>
      <c r="C85" s="74"/>
      <c r="D85" s="74"/>
      <c r="E85" s="74"/>
      <c r="F85" s="74"/>
      <c r="G85" s="74"/>
      <c r="H85" s="69"/>
      <c r="I85" s="70"/>
      <c r="J85" s="75"/>
      <c r="K85" s="76"/>
      <c r="L85" s="76"/>
      <c r="M85" s="77"/>
      <c r="N85" s="78"/>
      <c r="O85" s="78"/>
      <c r="P85" s="78"/>
      <c r="Q85" s="73"/>
    </row>
    <row r="86" spans="1:17" s="18" customFormat="1" ht="25.5" hidden="1" customHeight="1" x14ac:dyDescent="0.25">
      <c r="A86" s="64"/>
      <c r="B86" s="64"/>
      <c r="C86" s="66"/>
      <c r="D86" s="66"/>
      <c r="E86" s="66"/>
      <c r="F86" s="66"/>
      <c r="G86" s="66"/>
      <c r="H86" s="67"/>
      <c r="I86" s="68"/>
      <c r="J86" s="67"/>
      <c r="K86" s="71"/>
      <c r="L86" s="71"/>
      <c r="M86" s="71"/>
      <c r="N86" s="71"/>
      <c r="O86" s="71"/>
      <c r="P86" s="71"/>
      <c r="Q86" s="72"/>
    </row>
    <row r="87" spans="1:17" s="18" customFormat="1" ht="74.25" hidden="1" customHeight="1" x14ac:dyDescent="0.25">
      <c r="A87" s="65"/>
      <c r="B87" s="65"/>
      <c r="C87" s="74"/>
      <c r="D87" s="74"/>
      <c r="E87" s="74"/>
      <c r="F87" s="74"/>
      <c r="G87" s="74"/>
      <c r="H87" s="69"/>
      <c r="I87" s="70"/>
      <c r="J87" s="75"/>
      <c r="K87" s="76"/>
      <c r="L87" s="76"/>
      <c r="M87" s="77"/>
      <c r="N87" s="78"/>
      <c r="O87" s="78"/>
      <c r="P87" s="78"/>
      <c r="Q87" s="73"/>
    </row>
    <row r="88" spans="1:17" s="18" customFormat="1" ht="35.25" hidden="1" customHeight="1" x14ac:dyDescent="0.25">
      <c r="A88" s="64"/>
      <c r="B88" s="64"/>
      <c r="C88" s="66"/>
      <c r="D88" s="66"/>
      <c r="E88" s="66"/>
      <c r="F88" s="66"/>
      <c r="G88" s="66"/>
      <c r="H88" s="67"/>
      <c r="I88" s="68"/>
      <c r="J88" s="67"/>
      <c r="K88" s="71"/>
      <c r="L88" s="71"/>
      <c r="M88" s="71"/>
      <c r="N88" s="71"/>
      <c r="O88" s="71"/>
      <c r="P88" s="71"/>
      <c r="Q88" s="72"/>
    </row>
    <row r="89" spans="1:17" s="18" customFormat="1" ht="73.5" hidden="1" customHeight="1" x14ac:dyDescent="0.25">
      <c r="A89" s="65"/>
      <c r="B89" s="65"/>
      <c r="C89" s="74"/>
      <c r="D89" s="74"/>
      <c r="E89" s="74"/>
      <c r="F89" s="74"/>
      <c r="G89" s="74"/>
      <c r="H89" s="69"/>
      <c r="I89" s="70"/>
      <c r="J89" s="75"/>
      <c r="K89" s="76"/>
      <c r="L89" s="76"/>
      <c r="M89" s="77"/>
      <c r="N89" s="78"/>
      <c r="O89" s="78"/>
      <c r="P89" s="78"/>
      <c r="Q89" s="73"/>
    </row>
    <row r="90" spans="1:17" s="18" customFormat="1" ht="34.5" hidden="1" customHeight="1" x14ac:dyDescent="0.25">
      <c r="A90" s="64"/>
      <c r="B90" s="64"/>
      <c r="C90" s="66"/>
      <c r="D90" s="66"/>
      <c r="E90" s="66"/>
      <c r="F90" s="66"/>
      <c r="G90" s="66"/>
      <c r="H90" s="67"/>
      <c r="I90" s="68"/>
      <c r="J90" s="67"/>
      <c r="K90" s="71"/>
      <c r="L90" s="71"/>
      <c r="M90" s="71"/>
      <c r="N90" s="71"/>
      <c r="O90" s="71"/>
      <c r="P90" s="71"/>
      <c r="Q90" s="72"/>
    </row>
    <row r="91" spans="1:17" s="18" customFormat="1" ht="68.25" hidden="1" customHeight="1" x14ac:dyDescent="0.25">
      <c r="A91" s="65"/>
      <c r="B91" s="65"/>
      <c r="C91" s="74"/>
      <c r="D91" s="74"/>
      <c r="E91" s="74"/>
      <c r="F91" s="74"/>
      <c r="G91" s="74"/>
      <c r="H91" s="69"/>
      <c r="I91" s="70"/>
      <c r="J91" s="75"/>
      <c r="K91" s="76"/>
      <c r="L91" s="76"/>
      <c r="M91" s="77"/>
      <c r="N91" s="78"/>
      <c r="O91" s="78"/>
      <c r="P91" s="78"/>
      <c r="Q91" s="73"/>
    </row>
    <row r="92" spans="1:17" s="18" customFormat="1" ht="21" hidden="1" customHeight="1" x14ac:dyDescent="0.25">
      <c r="A92" s="85" t="s">
        <v>35</v>
      </c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7"/>
    </row>
    <row r="93" spans="1:17" s="18" customFormat="1" ht="33" customHeight="1" x14ac:dyDescent="0.25">
      <c r="A93" s="64">
        <v>1</v>
      </c>
      <c r="B93" s="64" t="s">
        <v>15</v>
      </c>
      <c r="C93" s="66"/>
      <c r="D93" s="66"/>
      <c r="E93" s="66"/>
      <c r="F93" s="66"/>
      <c r="G93" s="66"/>
      <c r="H93" s="67" t="s">
        <v>54</v>
      </c>
      <c r="I93" s="68"/>
      <c r="J93" s="67" t="s">
        <v>56</v>
      </c>
      <c r="K93" s="71"/>
      <c r="L93" s="71"/>
      <c r="M93" s="71"/>
      <c r="N93" s="71"/>
      <c r="O93" s="71"/>
      <c r="P93" s="71"/>
      <c r="Q93" s="72">
        <f>ROUND(M94*J94,3)</f>
        <v>281.63099999999997</v>
      </c>
    </row>
    <row r="94" spans="1:17" s="18" customFormat="1" ht="107.25" customHeight="1" x14ac:dyDescent="0.25">
      <c r="A94" s="65"/>
      <c r="B94" s="65" t="s">
        <v>55</v>
      </c>
      <c r="C94" s="74"/>
      <c r="D94" s="74"/>
      <c r="E94" s="74"/>
      <c r="F94" s="74"/>
      <c r="G94" s="74"/>
      <c r="H94" s="69"/>
      <c r="I94" s="70"/>
      <c r="J94" s="75">
        <v>1</v>
      </c>
      <c r="K94" s="76"/>
      <c r="L94" s="76"/>
      <c r="M94" s="77">
        <f>ROUND(1*77.61*1.4*2592/1000,3)</f>
        <v>281.63099999999997</v>
      </c>
      <c r="N94" s="78"/>
      <c r="O94" s="78"/>
      <c r="P94" s="78"/>
      <c r="Q94" s="73"/>
    </row>
    <row r="95" spans="1:17" s="18" customFormat="1" ht="23.25" customHeight="1" x14ac:dyDescent="0.25">
      <c r="A95" s="64">
        <v>2</v>
      </c>
      <c r="B95" s="64" t="s">
        <v>15</v>
      </c>
      <c r="C95" s="66"/>
      <c r="D95" s="66"/>
      <c r="E95" s="66"/>
      <c r="F95" s="66"/>
      <c r="G95" s="66"/>
      <c r="H95" s="67" t="s">
        <v>57</v>
      </c>
      <c r="I95" s="68"/>
      <c r="J95" s="67" t="s">
        <v>59</v>
      </c>
      <c r="K95" s="71"/>
      <c r="L95" s="71"/>
      <c r="M95" s="71"/>
      <c r="N95" s="71"/>
      <c r="O95" s="71"/>
      <c r="P95" s="71"/>
      <c r="Q95" s="72">
        <f>ROUND(M96*J96,3)</f>
        <v>53.265999999999998</v>
      </c>
    </row>
    <row r="96" spans="1:17" s="18" customFormat="1" ht="106.5" customHeight="1" x14ac:dyDescent="0.25">
      <c r="A96" s="65"/>
      <c r="B96" s="65" t="s">
        <v>58</v>
      </c>
      <c r="C96" s="74"/>
      <c r="D96" s="74"/>
      <c r="E96" s="74"/>
      <c r="F96" s="74"/>
      <c r="G96" s="74"/>
      <c r="H96" s="69"/>
      <c r="I96" s="70"/>
      <c r="J96" s="75">
        <v>1</v>
      </c>
      <c r="K96" s="76"/>
      <c r="L96" s="76"/>
      <c r="M96" s="77">
        <f>ROUND(1*20.55*2592/1000,3)</f>
        <v>53.265999999999998</v>
      </c>
      <c r="N96" s="78"/>
      <c r="O96" s="78"/>
      <c r="P96" s="78"/>
      <c r="Q96" s="73"/>
    </row>
    <row r="97" spans="1:17" s="28" customFormat="1" ht="19.350000000000001" customHeight="1" x14ac:dyDescent="0.25">
      <c r="A97" s="43" t="s">
        <v>90</v>
      </c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5"/>
      <c r="Q97" s="27">
        <f>SUM(Q93:Q96)</f>
        <v>334.89699999999999</v>
      </c>
    </row>
    <row r="98" spans="1:17" s="21" customFormat="1" ht="21.75" customHeight="1" x14ac:dyDescent="0.25">
      <c r="A98" s="61" t="s">
        <v>91</v>
      </c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3"/>
    </row>
    <row r="99" spans="1:17" s="18" customFormat="1" ht="30.75" customHeight="1" x14ac:dyDescent="0.25">
      <c r="A99" s="64">
        <v>1</v>
      </c>
      <c r="B99" s="64" t="s">
        <v>15</v>
      </c>
      <c r="C99" s="66"/>
      <c r="D99" s="66"/>
      <c r="E99" s="66"/>
      <c r="F99" s="66"/>
      <c r="G99" s="66"/>
      <c r="H99" s="67" t="s">
        <v>62</v>
      </c>
      <c r="I99" s="68"/>
      <c r="J99" s="67" t="s">
        <v>61</v>
      </c>
      <c r="K99" s="71"/>
      <c r="L99" s="71"/>
      <c r="M99" s="71"/>
      <c r="N99" s="71"/>
      <c r="O99" s="71"/>
      <c r="P99" s="71"/>
      <c r="Q99" s="72">
        <f>ROUND(M100*J100,3)</f>
        <v>129.35</v>
      </c>
    </row>
    <row r="100" spans="1:17" s="18" customFormat="1" ht="42" customHeight="1" x14ac:dyDescent="0.25">
      <c r="A100" s="65"/>
      <c r="B100" s="65" t="s">
        <v>60</v>
      </c>
      <c r="C100" s="74"/>
      <c r="D100" s="74"/>
      <c r="E100" s="74"/>
      <c r="F100" s="74"/>
      <c r="G100" s="74"/>
      <c r="H100" s="69"/>
      <c r="I100" s="70"/>
      <c r="J100" s="75">
        <v>50</v>
      </c>
      <c r="K100" s="76"/>
      <c r="L100" s="76"/>
      <c r="M100" s="77">
        <f>ROUND(1*(0.33+4*0.167)*2592/1000,3)</f>
        <v>2.5870000000000002</v>
      </c>
      <c r="N100" s="78"/>
      <c r="O100" s="78"/>
      <c r="P100" s="78"/>
      <c r="Q100" s="73"/>
    </row>
    <row r="101" spans="1:17" s="18" customFormat="1" ht="29.25" customHeight="1" x14ac:dyDescent="0.25">
      <c r="A101" s="64">
        <v>2</v>
      </c>
      <c r="B101" s="64" t="s">
        <v>63</v>
      </c>
      <c r="C101" s="66"/>
      <c r="D101" s="66"/>
      <c r="E101" s="66"/>
      <c r="F101" s="66"/>
      <c r="G101" s="66"/>
      <c r="H101" s="67" t="s">
        <v>64</v>
      </c>
      <c r="I101" s="68"/>
      <c r="J101" s="67" t="s">
        <v>65</v>
      </c>
      <c r="K101" s="71"/>
      <c r="L101" s="71"/>
      <c r="M101" s="71"/>
      <c r="N101" s="71"/>
      <c r="O101" s="71"/>
      <c r="P101" s="71"/>
      <c r="Q101" s="72">
        <f>ROUND(M102*J102,3)</f>
        <v>13.898999999999999</v>
      </c>
    </row>
    <row r="102" spans="1:17" s="18" customFormat="1" ht="106.5" customHeight="1" x14ac:dyDescent="0.25">
      <c r="A102" s="65"/>
      <c r="B102" s="65" t="s">
        <v>66</v>
      </c>
      <c r="C102" s="74"/>
      <c r="D102" s="74"/>
      <c r="E102" s="74"/>
      <c r="F102" s="74"/>
      <c r="G102" s="74"/>
      <c r="H102" s="69"/>
      <c r="I102" s="70"/>
      <c r="J102" s="75">
        <v>1</v>
      </c>
      <c r="K102" s="76"/>
      <c r="L102" s="76"/>
      <c r="M102" s="77">
        <f>ROUND(1*(78+16*(70-20)/5)*14.6*4/1000,3)</f>
        <v>13.898999999999999</v>
      </c>
      <c r="N102" s="78"/>
      <c r="O102" s="78"/>
      <c r="P102" s="78"/>
      <c r="Q102" s="73"/>
    </row>
    <row r="103" spans="1:17" s="28" customFormat="1" ht="19.350000000000001" customHeight="1" x14ac:dyDescent="0.25">
      <c r="A103" s="43" t="s">
        <v>92</v>
      </c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5"/>
      <c r="Q103" s="27">
        <f>SUM(Q99:Q102)</f>
        <v>143.249</v>
      </c>
    </row>
    <row r="104" spans="1:17" s="21" customFormat="1" ht="21.75" customHeight="1" x14ac:dyDescent="0.25">
      <c r="A104" s="61" t="s">
        <v>93</v>
      </c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3"/>
    </row>
    <row r="105" spans="1:17" s="18" customFormat="1" ht="30" customHeight="1" x14ac:dyDescent="0.25">
      <c r="A105" s="64">
        <v>1</v>
      </c>
      <c r="B105" s="64" t="s">
        <v>15</v>
      </c>
      <c r="C105" s="66"/>
      <c r="D105" s="66"/>
      <c r="E105" s="66"/>
      <c r="F105" s="66"/>
      <c r="G105" s="66"/>
      <c r="H105" s="67" t="s">
        <v>67</v>
      </c>
      <c r="I105" s="68"/>
      <c r="J105" s="67" t="s">
        <v>70</v>
      </c>
      <c r="K105" s="71"/>
      <c r="L105" s="71"/>
      <c r="M105" s="71"/>
      <c r="N105" s="71"/>
      <c r="O105" s="71"/>
      <c r="P105" s="71"/>
      <c r="Q105" s="72">
        <f>ROUND(M106*J106,3)</f>
        <v>18.254000000000001</v>
      </c>
    </row>
    <row r="106" spans="1:17" s="18" customFormat="1" ht="87" customHeight="1" x14ac:dyDescent="0.25">
      <c r="A106" s="65"/>
      <c r="B106" s="65" t="s">
        <v>69</v>
      </c>
      <c r="C106" s="74"/>
      <c r="D106" s="74"/>
      <c r="E106" s="74"/>
      <c r="F106" s="74"/>
      <c r="G106" s="74"/>
      <c r="H106" s="69"/>
      <c r="I106" s="70"/>
      <c r="J106" s="75">
        <v>1</v>
      </c>
      <c r="K106" s="76"/>
      <c r="L106" s="76"/>
      <c r="M106" s="77">
        <f>ROUND(1*(10.62*0.526*1.2+10.62*0.474)*0.6*2592/1000,3)</f>
        <v>18.254000000000001</v>
      </c>
      <c r="N106" s="78"/>
      <c r="O106" s="78"/>
      <c r="P106" s="78"/>
      <c r="Q106" s="73"/>
    </row>
    <row r="107" spans="1:17" s="18" customFormat="1" ht="30.75" customHeight="1" x14ac:dyDescent="0.25">
      <c r="A107" s="64">
        <v>2</v>
      </c>
      <c r="B107" s="64" t="s">
        <v>15</v>
      </c>
      <c r="C107" s="66"/>
      <c r="D107" s="66"/>
      <c r="E107" s="66"/>
      <c r="F107" s="66"/>
      <c r="G107" s="66"/>
      <c r="H107" s="67" t="s">
        <v>68</v>
      </c>
      <c r="I107" s="68"/>
      <c r="J107" s="67" t="s">
        <v>72</v>
      </c>
      <c r="K107" s="71"/>
      <c r="L107" s="71"/>
      <c r="M107" s="71"/>
      <c r="N107" s="71"/>
      <c r="O107" s="71"/>
      <c r="P107" s="71"/>
      <c r="Q107" s="72">
        <f>ROUND(M108*J108,3)</f>
        <v>21.571000000000002</v>
      </c>
    </row>
    <row r="108" spans="1:17" s="18" customFormat="1" ht="81" customHeight="1" x14ac:dyDescent="0.25">
      <c r="A108" s="65"/>
      <c r="B108" s="65" t="s">
        <v>71</v>
      </c>
      <c r="C108" s="74"/>
      <c r="D108" s="74"/>
      <c r="E108" s="74"/>
      <c r="F108" s="74"/>
      <c r="G108" s="74"/>
      <c r="H108" s="69"/>
      <c r="I108" s="70"/>
      <c r="J108" s="75">
        <v>1</v>
      </c>
      <c r="K108" s="76"/>
      <c r="L108" s="76"/>
      <c r="M108" s="77">
        <f>ROUND(1*(11.98*0.526*1.3+11.98*0.474)*0.6*2592/1000,3)</f>
        <v>21.571000000000002</v>
      </c>
      <c r="N108" s="78"/>
      <c r="O108" s="78"/>
      <c r="P108" s="78"/>
      <c r="Q108" s="73"/>
    </row>
    <row r="109" spans="1:17" s="18" customFormat="1" ht="33" customHeight="1" x14ac:dyDescent="0.25">
      <c r="A109" s="64">
        <v>3</v>
      </c>
      <c r="B109" s="64" t="s">
        <v>15</v>
      </c>
      <c r="C109" s="66"/>
      <c r="D109" s="66"/>
      <c r="E109" s="66"/>
      <c r="F109" s="66"/>
      <c r="G109" s="66"/>
      <c r="H109" s="67" t="s">
        <v>73</v>
      </c>
      <c r="I109" s="68"/>
      <c r="J109" s="67" t="s">
        <v>75</v>
      </c>
      <c r="K109" s="71"/>
      <c r="L109" s="71"/>
      <c r="M109" s="71"/>
      <c r="N109" s="71"/>
      <c r="O109" s="71"/>
      <c r="P109" s="71"/>
      <c r="Q109" s="72">
        <f>ROUND(M110*J110,3)</f>
        <v>9.327</v>
      </c>
    </row>
    <row r="110" spans="1:17" s="18" customFormat="1" ht="78.75" customHeight="1" x14ac:dyDescent="0.25">
      <c r="A110" s="65"/>
      <c r="B110" s="65" t="s">
        <v>74</v>
      </c>
      <c r="C110" s="74"/>
      <c r="D110" s="74"/>
      <c r="E110" s="74"/>
      <c r="F110" s="74"/>
      <c r="G110" s="74"/>
      <c r="H110" s="69"/>
      <c r="I110" s="70"/>
      <c r="J110" s="75">
        <v>1</v>
      </c>
      <c r="K110" s="76"/>
      <c r="L110" s="76"/>
      <c r="M110" s="77">
        <f>ROUND(1*(5.18*0.526*1.3+5.18*0.474)*0.6*2592/1000,3)</f>
        <v>9.327</v>
      </c>
      <c r="N110" s="78"/>
      <c r="O110" s="78"/>
      <c r="P110" s="78"/>
      <c r="Q110" s="73"/>
    </row>
    <row r="111" spans="1:17" s="18" customFormat="1" ht="32.25" customHeight="1" x14ac:dyDescent="0.25">
      <c r="A111" s="46">
        <v>4</v>
      </c>
      <c r="B111" s="46" t="s">
        <v>15</v>
      </c>
      <c r="C111" s="48"/>
      <c r="D111" s="48"/>
      <c r="E111" s="48"/>
      <c r="F111" s="48"/>
      <c r="G111" s="48"/>
      <c r="H111" s="49" t="s">
        <v>76</v>
      </c>
      <c r="I111" s="50"/>
      <c r="J111" s="49" t="s">
        <v>77</v>
      </c>
      <c r="K111" s="53"/>
      <c r="L111" s="53"/>
      <c r="M111" s="53"/>
      <c r="N111" s="53"/>
      <c r="O111" s="53"/>
      <c r="P111" s="53"/>
      <c r="Q111" s="54">
        <f>ROUND(M112*J112,3)</f>
        <v>13.536</v>
      </c>
    </row>
    <row r="112" spans="1:17" s="18" customFormat="1" ht="103.5" customHeight="1" x14ac:dyDescent="0.25">
      <c r="A112" s="47"/>
      <c r="B112" s="47" t="s">
        <v>80</v>
      </c>
      <c r="C112" s="56"/>
      <c r="D112" s="56"/>
      <c r="E112" s="56"/>
      <c r="F112" s="56"/>
      <c r="G112" s="56"/>
      <c r="H112" s="51"/>
      <c r="I112" s="52"/>
      <c r="J112" s="57">
        <v>16</v>
      </c>
      <c r="K112" s="58"/>
      <c r="L112" s="58"/>
      <c r="M112" s="59">
        <f>ROUND(1*(0.47*0.526*1.3+0.47*0.474)*0.6*2592/1000,3)</f>
        <v>0.84599999999999997</v>
      </c>
      <c r="N112" s="60"/>
      <c r="O112" s="60"/>
      <c r="P112" s="60"/>
      <c r="Q112" s="55"/>
    </row>
    <row r="113" spans="1:17" s="18" customFormat="1" ht="30.75" customHeight="1" x14ac:dyDescent="0.25">
      <c r="A113" s="46">
        <v>5</v>
      </c>
      <c r="B113" s="46" t="s">
        <v>15</v>
      </c>
      <c r="C113" s="48"/>
      <c r="D113" s="48"/>
      <c r="E113" s="48"/>
      <c r="F113" s="48"/>
      <c r="G113" s="48"/>
      <c r="H113" s="49" t="s">
        <v>78</v>
      </c>
      <c r="I113" s="50"/>
      <c r="J113" s="49" t="s">
        <v>79</v>
      </c>
      <c r="K113" s="53"/>
      <c r="L113" s="53"/>
      <c r="M113" s="53"/>
      <c r="N113" s="53"/>
      <c r="O113" s="53"/>
      <c r="P113" s="53"/>
      <c r="Q113" s="54">
        <f>ROUND(M114*J114,3)</f>
        <v>8.0640000000000001</v>
      </c>
    </row>
    <row r="114" spans="1:17" s="18" customFormat="1" ht="92.25" customHeight="1" x14ac:dyDescent="0.25">
      <c r="A114" s="47"/>
      <c r="B114" s="47" t="s">
        <v>81</v>
      </c>
      <c r="C114" s="56"/>
      <c r="D114" s="56"/>
      <c r="E114" s="56"/>
      <c r="F114" s="56"/>
      <c r="G114" s="56"/>
      <c r="H114" s="51"/>
      <c r="I114" s="52"/>
      <c r="J114" s="57">
        <v>16</v>
      </c>
      <c r="K114" s="58"/>
      <c r="L114" s="58"/>
      <c r="M114" s="59">
        <f>ROUND(1*(0.28*0.526*1.3+0.28*0.474)*0.6*2592/1000,3)</f>
        <v>0.504</v>
      </c>
      <c r="N114" s="60"/>
      <c r="O114" s="60"/>
      <c r="P114" s="60"/>
      <c r="Q114" s="55"/>
    </row>
    <row r="115" spans="1:17" s="18" customFormat="1" ht="30.75" customHeight="1" x14ac:dyDescent="0.25">
      <c r="A115" s="46">
        <v>6</v>
      </c>
      <c r="B115" s="46" t="s">
        <v>15</v>
      </c>
      <c r="C115" s="48"/>
      <c r="D115" s="48"/>
      <c r="E115" s="48"/>
      <c r="F115" s="48"/>
      <c r="G115" s="48"/>
      <c r="H115" s="49" t="s">
        <v>82</v>
      </c>
      <c r="I115" s="50"/>
      <c r="J115" s="49" t="s">
        <v>84</v>
      </c>
      <c r="K115" s="53"/>
      <c r="L115" s="53"/>
      <c r="M115" s="53"/>
      <c r="N115" s="53"/>
      <c r="O115" s="53"/>
      <c r="P115" s="53"/>
      <c r="Q115" s="54">
        <f>ROUND(M116*J116,3)</f>
        <v>18.007999999999999</v>
      </c>
    </row>
    <row r="116" spans="1:17" s="18" customFormat="1" ht="121.5" customHeight="1" x14ac:dyDescent="0.25">
      <c r="A116" s="47"/>
      <c r="B116" s="47" t="s">
        <v>83</v>
      </c>
      <c r="C116" s="56"/>
      <c r="D116" s="56"/>
      <c r="E116" s="56"/>
      <c r="F116" s="56"/>
      <c r="G116" s="56"/>
      <c r="H116" s="51"/>
      <c r="I116" s="52"/>
      <c r="J116" s="57">
        <v>8</v>
      </c>
      <c r="K116" s="58"/>
      <c r="L116" s="58"/>
      <c r="M116" s="59">
        <f>ROUND(1*(1.25*0.526*1.3+1.25*0.474)*0.6*2592/1000,3)</f>
        <v>2.2509999999999999</v>
      </c>
      <c r="N116" s="60"/>
      <c r="O116" s="60"/>
      <c r="P116" s="60"/>
      <c r="Q116" s="55"/>
    </row>
    <row r="117" spans="1:17" s="18" customFormat="1" ht="33" customHeight="1" x14ac:dyDescent="0.25">
      <c r="A117" s="46">
        <v>7</v>
      </c>
      <c r="B117" s="46" t="s">
        <v>15</v>
      </c>
      <c r="C117" s="48"/>
      <c r="D117" s="48"/>
      <c r="E117" s="48"/>
      <c r="F117" s="48"/>
      <c r="G117" s="48"/>
      <c r="H117" s="49" t="s">
        <v>82</v>
      </c>
      <c r="I117" s="50"/>
      <c r="J117" s="49" t="s">
        <v>85</v>
      </c>
      <c r="K117" s="53"/>
      <c r="L117" s="53"/>
      <c r="M117" s="53"/>
      <c r="N117" s="53"/>
      <c r="O117" s="53"/>
      <c r="P117" s="53"/>
      <c r="Q117" s="54">
        <f>ROUND(M118*J118,3)</f>
        <v>14.696</v>
      </c>
    </row>
    <row r="118" spans="1:17" s="18" customFormat="1" ht="108.75" customHeight="1" x14ac:dyDescent="0.25">
      <c r="A118" s="47"/>
      <c r="B118" s="47" t="s">
        <v>86</v>
      </c>
      <c r="C118" s="56"/>
      <c r="D118" s="56"/>
      <c r="E118" s="56"/>
      <c r="F118" s="56"/>
      <c r="G118" s="56"/>
      <c r="H118" s="51"/>
      <c r="I118" s="52"/>
      <c r="J118" s="57">
        <v>8</v>
      </c>
      <c r="K118" s="58"/>
      <c r="L118" s="58"/>
      <c r="M118" s="59">
        <f>ROUND(1*(1.02*0.526*1.3+1.02*0.474)*0.6*2592/1000,3)</f>
        <v>1.837</v>
      </c>
      <c r="N118" s="60"/>
      <c r="O118" s="60"/>
      <c r="P118" s="60"/>
      <c r="Q118" s="55"/>
    </row>
    <row r="119" spans="1:17" s="18" customFormat="1" ht="32.25" customHeight="1" x14ac:dyDescent="0.25">
      <c r="A119" s="46">
        <v>8</v>
      </c>
      <c r="B119" s="46" t="s">
        <v>15</v>
      </c>
      <c r="C119" s="48"/>
      <c r="D119" s="48"/>
      <c r="E119" s="48"/>
      <c r="F119" s="48"/>
      <c r="G119" s="48"/>
      <c r="H119" s="49" t="s">
        <v>82</v>
      </c>
      <c r="I119" s="50"/>
      <c r="J119" s="49" t="s">
        <v>88</v>
      </c>
      <c r="K119" s="53"/>
      <c r="L119" s="53"/>
      <c r="M119" s="53"/>
      <c r="N119" s="53"/>
      <c r="O119" s="53"/>
      <c r="P119" s="53"/>
      <c r="Q119" s="54">
        <f>ROUND(M120*J120,3)</f>
        <v>7.3440000000000003</v>
      </c>
    </row>
    <row r="120" spans="1:17" s="18" customFormat="1" ht="96.75" customHeight="1" x14ac:dyDescent="0.25">
      <c r="A120" s="47"/>
      <c r="B120" s="47" t="s">
        <v>87</v>
      </c>
      <c r="C120" s="56"/>
      <c r="D120" s="56"/>
      <c r="E120" s="56"/>
      <c r="F120" s="56"/>
      <c r="G120" s="56"/>
      <c r="H120" s="51"/>
      <c r="I120" s="52"/>
      <c r="J120" s="57">
        <v>8</v>
      </c>
      <c r="K120" s="58"/>
      <c r="L120" s="58"/>
      <c r="M120" s="59">
        <f>ROUND(1*(0.51*0.526*1.3+0.51*0.474)*0.6*2592/1000,3)</f>
        <v>0.91800000000000004</v>
      </c>
      <c r="N120" s="60"/>
      <c r="O120" s="60"/>
      <c r="P120" s="60"/>
      <c r="Q120" s="55"/>
    </row>
    <row r="121" spans="1:17" s="18" customFormat="1" ht="25.5" customHeight="1" x14ac:dyDescent="0.25">
      <c r="A121" s="64">
        <v>9</v>
      </c>
      <c r="B121" s="64" t="s">
        <v>15</v>
      </c>
      <c r="C121" s="66"/>
      <c r="D121" s="66"/>
      <c r="E121" s="66"/>
      <c r="F121" s="66"/>
      <c r="G121" s="66"/>
      <c r="H121" s="67" t="s">
        <v>272</v>
      </c>
      <c r="I121" s="68"/>
      <c r="J121" s="67" t="s">
        <v>273</v>
      </c>
      <c r="K121" s="71"/>
      <c r="L121" s="71"/>
      <c r="M121" s="71"/>
      <c r="N121" s="71"/>
      <c r="O121" s="71"/>
      <c r="P121" s="71"/>
      <c r="Q121" s="72">
        <f>ROUND(M122*J122,3)</f>
        <v>0</v>
      </c>
    </row>
    <row r="122" spans="1:17" s="18" customFormat="1" ht="108.75" customHeight="1" x14ac:dyDescent="0.25">
      <c r="A122" s="65"/>
      <c r="B122" s="65" t="s">
        <v>274</v>
      </c>
      <c r="C122" s="74"/>
      <c r="D122" s="74"/>
      <c r="E122" s="74"/>
      <c r="F122" s="74"/>
      <c r="G122" s="74"/>
      <c r="H122" s="69"/>
      <c r="I122" s="70"/>
      <c r="J122" s="75">
        <v>0</v>
      </c>
      <c r="K122" s="76"/>
      <c r="L122" s="76"/>
      <c r="M122" s="77">
        <f>ROUND(1*2.4*540/1000,3)</f>
        <v>1.296</v>
      </c>
      <c r="N122" s="78"/>
      <c r="O122" s="78"/>
      <c r="P122" s="78"/>
      <c r="Q122" s="73"/>
    </row>
    <row r="123" spans="1:17" s="28" customFormat="1" ht="19.350000000000001" customHeight="1" x14ac:dyDescent="0.25">
      <c r="A123" s="43" t="s">
        <v>94</v>
      </c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5"/>
      <c r="Q123" s="27">
        <f>SUM(Q105:Q122)</f>
        <v>110.8</v>
      </c>
    </row>
    <row r="124" spans="1:17" s="21" customFormat="1" ht="21.75" customHeight="1" x14ac:dyDescent="0.25">
      <c r="A124" s="61" t="s">
        <v>143</v>
      </c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3"/>
    </row>
    <row r="125" spans="1:17" s="18" customFormat="1" ht="18" customHeight="1" x14ac:dyDescent="0.25">
      <c r="A125" s="46">
        <v>1</v>
      </c>
      <c r="B125" s="46" t="s">
        <v>15</v>
      </c>
      <c r="C125" s="48"/>
      <c r="D125" s="48"/>
      <c r="E125" s="48"/>
      <c r="F125" s="48"/>
      <c r="G125" s="48"/>
      <c r="H125" s="49" t="s">
        <v>146</v>
      </c>
      <c r="I125" s="50"/>
      <c r="J125" s="49" t="s">
        <v>148</v>
      </c>
      <c r="K125" s="53"/>
      <c r="L125" s="53"/>
      <c r="M125" s="53"/>
      <c r="N125" s="53"/>
      <c r="O125" s="53"/>
      <c r="P125" s="53"/>
      <c r="Q125" s="54">
        <f>ROUND(M126*J126,3)</f>
        <v>4.2</v>
      </c>
    </row>
    <row r="126" spans="1:17" s="18" customFormat="1" ht="45" customHeight="1" x14ac:dyDescent="0.25">
      <c r="A126" s="47"/>
      <c r="B126" s="47" t="s">
        <v>147</v>
      </c>
      <c r="C126" s="56"/>
      <c r="D126" s="56"/>
      <c r="E126" s="56"/>
      <c r="F126" s="56"/>
      <c r="G126" s="56"/>
      <c r="H126" s="51"/>
      <c r="I126" s="52"/>
      <c r="J126" s="57">
        <v>3</v>
      </c>
      <c r="K126" s="58"/>
      <c r="L126" s="58"/>
      <c r="M126" s="59">
        <f>ROUND(1*0.54*2592/1000,3)</f>
        <v>1.4</v>
      </c>
      <c r="N126" s="60"/>
      <c r="O126" s="60"/>
      <c r="P126" s="60"/>
      <c r="Q126" s="55"/>
    </row>
    <row r="127" spans="1:17" s="18" customFormat="1" ht="19.5" customHeight="1" x14ac:dyDescent="0.25">
      <c r="A127" s="46">
        <v>2</v>
      </c>
      <c r="B127" s="46" t="s">
        <v>15</v>
      </c>
      <c r="C127" s="48"/>
      <c r="D127" s="48"/>
      <c r="E127" s="48"/>
      <c r="F127" s="48"/>
      <c r="G127" s="48"/>
      <c r="H127" s="49" t="s">
        <v>149</v>
      </c>
      <c r="I127" s="50"/>
      <c r="J127" s="49" t="s">
        <v>151</v>
      </c>
      <c r="K127" s="53"/>
      <c r="L127" s="53"/>
      <c r="M127" s="53"/>
      <c r="N127" s="53"/>
      <c r="O127" s="53"/>
      <c r="P127" s="53"/>
      <c r="Q127" s="54">
        <f>ROUND(M128*J128,3)</f>
        <v>13.997999999999999</v>
      </c>
    </row>
    <row r="128" spans="1:17" s="18" customFormat="1" ht="81" customHeight="1" x14ac:dyDescent="0.25">
      <c r="A128" s="47"/>
      <c r="B128" s="47" t="s">
        <v>150</v>
      </c>
      <c r="C128" s="56"/>
      <c r="D128" s="56"/>
      <c r="E128" s="56"/>
      <c r="F128" s="56"/>
      <c r="G128" s="56"/>
      <c r="H128" s="51"/>
      <c r="I128" s="52"/>
      <c r="J128" s="57">
        <v>6</v>
      </c>
      <c r="K128" s="58"/>
      <c r="L128" s="58"/>
      <c r="M128" s="59">
        <f>ROUND(1*0.9*2592/1000,3)</f>
        <v>2.3330000000000002</v>
      </c>
      <c r="N128" s="60"/>
      <c r="O128" s="60"/>
      <c r="P128" s="60"/>
      <c r="Q128" s="55"/>
    </row>
    <row r="129" spans="1:17" s="18" customFormat="1" ht="20.25" customHeight="1" x14ac:dyDescent="0.25">
      <c r="A129" s="46">
        <v>3</v>
      </c>
      <c r="B129" s="46" t="s">
        <v>15</v>
      </c>
      <c r="C129" s="48"/>
      <c r="D129" s="48"/>
      <c r="E129" s="48"/>
      <c r="F129" s="48"/>
      <c r="G129" s="48"/>
      <c r="H129" s="49" t="s">
        <v>152</v>
      </c>
      <c r="I129" s="50"/>
      <c r="J129" s="49" t="s">
        <v>154</v>
      </c>
      <c r="K129" s="53"/>
      <c r="L129" s="53"/>
      <c r="M129" s="53"/>
      <c r="N129" s="53"/>
      <c r="O129" s="53"/>
      <c r="P129" s="53"/>
      <c r="Q129" s="54">
        <f>ROUND(M130*J130,3)</f>
        <v>11.25</v>
      </c>
    </row>
    <row r="130" spans="1:17" s="18" customFormat="1" ht="50.25" customHeight="1" x14ac:dyDescent="0.25">
      <c r="A130" s="47"/>
      <c r="B130" s="47" t="s">
        <v>153</v>
      </c>
      <c r="C130" s="56"/>
      <c r="D130" s="56"/>
      <c r="E130" s="56"/>
      <c r="F130" s="56"/>
      <c r="G130" s="56"/>
      <c r="H130" s="51"/>
      <c r="I130" s="52"/>
      <c r="J130" s="57">
        <v>2</v>
      </c>
      <c r="K130" s="58"/>
      <c r="L130" s="58"/>
      <c r="M130" s="59">
        <f>ROUND(1*2.17*2592/1000,3)</f>
        <v>5.625</v>
      </c>
      <c r="N130" s="60"/>
      <c r="O130" s="60"/>
      <c r="P130" s="60"/>
      <c r="Q130" s="55"/>
    </row>
    <row r="131" spans="1:17" s="18" customFormat="1" ht="20.25" customHeight="1" x14ac:dyDescent="0.25">
      <c r="A131" s="46">
        <v>4</v>
      </c>
      <c r="B131" s="46" t="s">
        <v>15</v>
      </c>
      <c r="C131" s="48"/>
      <c r="D131" s="48"/>
      <c r="E131" s="48"/>
      <c r="F131" s="48"/>
      <c r="G131" s="48"/>
      <c r="H131" s="49" t="s">
        <v>149</v>
      </c>
      <c r="I131" s="50"/>
      <c r="J131" s="49" t="s">
        <v>151</v>
      </c>
      <c r="K131" s="53"/>
      <c r="L131" s="53"/>
      <c r="M131" s="53"/>
      <c r="N131" s="53"/>
      <c r="O131" s="53"/>
      <c r="P131" s="53"/>
      <c r="Q131" s="54">
        <f>ROUND(M132*J132,3)</f>
        <v>9.3320000000000007</v>
      </c>
    </row>
    <row r="132" spans="1:17" s="18" customFormat="1" ht="87.75" customHeight="1" x14ac:dyDescent="0.25">
      <c r="A132" s="47"/>
      <c r="B132" s="47" t="s">
        <v>155</v>
      </c>
      <c r="C132" s="56"/>
      <c r="D132" s="56"/>
      <c r="E132" s="56"/>
      <c r="F132" s="56"/>
      <c r="G132" s="56"/>
      <c r="H132" s="51"/>
      <c r="I132" s="52"/>
      <c r="J132" s="57">
        <v>4</v>
      </c>
      <c r="K132" s="58"/>
      <c r="L132" s="58"/>
      <c r="M132" s="59">
        <f>ROUND(1*0.9*2592/1000,3)</f>
        <v>2.3330000000000002</v>
      </c>
      <c r="N132" s="60"/>
      <c r="O132" s="60"/>
      <c r="P132" s="60"/>
      <c r="Q132" s="55"/>
    </row>
    <row r="133" spans="1:17" s="18" customFormat="1" ht="18" customHeight="1" x14ac:dyDescent="0.25">
      <c r="A133" s="46">
        <v>5</v>
      </c>
      <c r="B133" s="46" t="s">
        <v>15</v>
      </c>
      <c r="C133" s="48"/>
      <c r="D133" s="48"/>
      <c r="E133" s="48"/>
      <c r="F133" s="48"/>
      <c r="G133" s="48"/>
      <c r="H133" s="49" t="s">
        <v>156</v>
      </c>
      <c r="I133" s="50"/>
      <c r="J133" s="49" t="s">
        <v>158</v>
      </c>
      <c r="K133" s="53"/>
      <c r="L133" s="53"/>
      <c r="M133" s="53"/>
      <c r="N133" s="53"/>
      <c r="O133" s="53"/>
      <c r="P133" s="53"/>
      <c r="Q133" s="54">
        <f>ROUND(M134*J134,3)</f>
        <v>83.397999999999996</v>
      </c>
    </row>
    <row r="134" spans="1:17" s="18" customFormat="1" ht="74.25" customHeight="1" x14ac:dyDescent="0.25">
      <c r="A134" s="47"/>
      <c r="B134" s="47" t="s">
        <v>157</v>
      </c>
      <c r="C134" s="56"/>
      <c r="D134" s="56"/>
      <c r="E134" s="56"/>
      <c r="F134" s="56"/>
      <c r="G134" s="56"/>
      <c r="H134" s="51"/>
      <c r="I134" s="52"/>
      <c r="J134" s="57">
        <v>1</v>
      </c>
      <c r="K134" s="58"/>
      <c r="L134" s="58"/>
      <c r="M134" s="59">
        <f>ROUND(1*24.75*1.3*2592/1000,3)</f>
        <v>83.397999999999996</v>
      </c>
      <c r="N134" s="60"/>
      <c r="O134" s="60"/>
      <c r="P134" s="60"/>
      <c r="Q134" s="55"/>
    </row>
    <row r="135" spans="1:17" s="18" customFormat="1" ht="23.25" customHeight="1" x14ac:dyDescent="0.25">
      <c r="A135" s="46">
        <v>6</v>
      </c>
      <c r="B135" s="46" t="s">
        <v>15</v>
      </c>
      <c r="C135" s="48"/>
      <c r="D135" s="48"/>
      <c r="E135" s="48"/>
      <c r="F135" s="48"/>
      <c r="G135" s="48"/>
      <c r="H135" s="49" t="s">
        <v>159</v>
      </c>
      <c r="I135" s="50"/>
      <c r="J135" s="49" t="s">
        <v>161</v>
      </c>
      <c r="K135" s="53"/>
      <c r="L135" s="53"/>
      <c r="M135" s="53"/>
      <c r="N135" s="53"/>
      <c r="O135" s="53"/>
      <c r="P135" s="53"/>
      <c r="Q135" s="54">
        <f>ROUND(M136*J136,3)</f>
        <v>188.85300000000001</v>
      </c>
    </row>
    <row r="136" spans="1:17" s="18" customFormat="1" ht="95.25" customHeight="1" x14ac:dyDescent="0.25">
      <c r="A136" s="47"/>
      <c r="B136" s="47" t="s">
        <v>160</v>
      </c>
      <c r="C136" s="56"/>
      <c r="D136" s="56"/>
      <c r="E136" s="56"/>
      <c r="F136" s="56"/>
      <c r="G136" s="56"/>
      <c r="H136" s="51"/>
      <c r="I136" s="52"/>
      <c r="J136" s="57">
        <v>1</v>
      </c>
      <c r="K136" s="58"/>
      <c r="L136" s="58"/>
      <c r="M136" s="59">
        <f>ROUND(1*72.86*2592/1000,3)</f>
        <v>188.85300000000001</v>
      </c>
      <c r="N136" s="60"/>
      <c r="O136" s="60"/>
      <c r="P136" s="60"/>
      <c r="Q136" s="55"/>
    </row>
    <row r="137" spans="1:17" s="18" customFormat="1" ht="32.25" customHeight="1" x14ac:dyDescent="0.25">
      <c r="A137" s="46">
        <v>7</v>
      </c>
      <c r="B137" s="46" t="s">
        <v>63</v>
      </c>
      <c r="C137" s="48"/>
      <c r="D137" s="48"/>
      <c r="E137" s="48"/>
      <c r="F137" s="48"/>
      <c r="G137" s="48"/>
      <c r="H137" s="49" t="s">
        <v>164</v>
      </c>
      <c r="I137" s="50"/>
      <c r="J137" s="49" t="s">
        <v>163</v>
      </c>
      <c r="K137" s="53"/>
      <c r="L137" s="53"/>
      <c r="M137" s="53"/>
      <c r="N137" s="53"/>
      <c r="O137" s="53"/>
      <c r="P137" s="53"/>
      <c r="Q137" s="54">
        <f>ROUND(M138*J138,3)</f>
        <v>81.555000000000007</v>
      </c>
    </row>
    <row r="138" spans="1:17" s="18" customFormat="1" ht="60" customHeight="1" x14ac:dyDescent="0.25">
      <c r="A138" s="47"/>
      <c r="B138" s="47" t="s">
        <v>162</v>
      </c>
      <c r="C138" s="56"/>
      <c r="D138" s="56"/>
      <c r="E138" s="56"/>
      <c r="F138" s="56"/>
      <c r="G138" s="56"/>
      <c r="H138" s="51"/>
      <c r="I138" s="52"/>
      <c r="J138" s="57">
        <v>3</v>
      </c>
      <c r="K138" s="58"/>
      <c r="L138" s="58"/>
      <c r="M138" s="59">
        <f>ROUND(1*(110+185*3)*0.7*14.6*4/1000,3)</f>
        <v>27.184999999999999</v>
      </c>
      <c r="N138" s="60"/>
      <c r="O138" s="60"/>
      <c r="P138" s="60"/>
      <c r="Q138" s="55"/>
    </row>
    <row r="139" spans="1:17" s="18" customFormat="1" ht="25.5" customHeight="1" x14ac:dyDescent="0.25">
      <c r="A139" s="64">
        <v>8</v>
      </c>
      <c r="B139" s="64" t="s">
        <v>15</v>
      </c>
      <c r="C139" s="66"/>
      <c r="D139" s="66"/>
      <c r="E139" s="66"/>
      <c r="F139" s="66"/>
      <c r="G139" s="66"/>
      <c r="H139" s="67" t="s">
        <v>168</v>
      </c>
      <c r="I139" s="68"/>
      <c r="J139" s="67" t="s">
        <v>170</v>
      </c>
      <c r="K139" s="71"/>
      <c r="L139" s="71"/>
      <c r="M139" s="71"/>
      <c r="N139" s="71"/>
      <c r="O139" s="71"/>
      <c r="P139" s="71"/>
      <c r="Q139" s="72">
        <f>ROUND(M140*J140,3)</f>
        <v>30.382000000000001</v>
      </c>
    </row>
    <row r="140" spans="1:17" s="18" customFormat="1" ht="146.25" customHeight="1" x14ac:dyDescent="0.25">
      <c r="A140" s="65"/>
      <c r="B140" s="65" t="s">
        <v>169</v>
      </c>
      <c r="C140" s="74"/>
      <c r="D140" s="74"/>
      <c r="E140" s="74"/>
      <c r="F140" s="74"/>
      <c r="G140" s="74"/>
      <c r="H140" s="69"/>
      <c r="I140" s="70"/>
      <c r="J140" s="75">
        <v>0.2</v>
      </c>
      <c r="K140" s="76"/>
      <c r="L140" s="76"/>
      <c r="M140" s="77">
        <f>ROUND(1*53.28*1.1*2592/1000,3)</f>
        <v>151.91200000000001</v>
      </c>
      <c r="N140" s="78"/>
      <c r="O140" s="78"/>
      <c r="P140" s="78"/>
      <c r="Q140" s="73"/>
    </row>
    <row r="141" spans="1:17" s="18" customFormat="1" ht="25.5" customHeight="1" x14ac:dyDescent="0.25">
      <c r="A141" s="64">
        <v>9</v>
      </c>
      <c r="B141" s="64" t="s">
        <v>15</v>
      </c>
      <c r="C141" s="66"/>
      <c r="D141" s="66"/>
      <c r="E141" s="66"/>
      <c r="F141" s="66"/>
      <c r="G141" s="66"/>
      <c r="H141" s="67" t="s">
        <v>140</v>
      </c>
      <c r="I141" s="68"/>
      <c r="J141" s="67" t="s">
        <v>167</v>
      </c>
      <c r="K141" s="71"/>
      <c r="L141" s="71"/>
      <c r="M141" s="71"/>
      <c r="N141" s="71"/>
      <c r="O141" s="71"/>
      <c r="P141" s="71"/>
      <c r="Q141" s="72">
        <f>ROUND(M142*J142,3)</f>
        <v>22.308</v>
      </c>
    </row>
    <row r="142" spans="1:17" s="18" customFormat="1" ht="108.75" customHeight="1" x14ac:dyDescent="0.25">
      <c r="A142" s="65"/>
      <c r="B142" s="65" t="s">
        <v>166</v>
      </c>
      <c r="C142" s="74"/>
      <c r="D142" s="74"/>
      <c r="E142" s="74"/>
      <c r="F142" s="74"/>
      <c r="G142" s="74"/>
      <c r="H142" s="69"/>
      <c r="I142" s="70"/>
      <c r="J142" s="75">
        <v>0.2</v>
      </c>
      <c r="K142" s="76"/>
      <c r="L142" s="76"/>
      <c r="M142" s="77">
        <f>ROUND(1*39.12*1.1*2592/1000,3)</f>
        <v>111.539</v>
      </c>
      <c r="N142" s="78"/>
      <c r="O142" s="78"/>
      <c r="P142" s="78"/>
      <c r="Q142" s="73"/>
    </row>
    <row r="143" spans="1:17" s="28" customFormat="1" ht="19.350000000000001" customHeight="1" x14ac:dyDescent="0.25">
      <c r="A143" s="43" t="s">
        <v>132</v>
      </c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5"/>
      <c r="Q143" s="27">
        <f>SUM(Q125:Q142)</f>
        <v>445.27600000000001</v>
      </c>
    </row>
    <row r="144" spans="1:17" s="21" customFormat="1" ht="21.75" customHeight="1" x14ac:dyDescent="0.25">
      <c r="A144" s="61" t="s">
        <v>133</v>
      </c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3"/>
    </row>
    <row r="145" spans="1:17" s="18" customFormat="1" ht="77.25" customHeight="1" x14ac:dyDescent="0.25">
      <c r="A145" s="64">
        <v>1</v>
      </c>
      <c r="B145" s="64" t="s">
        <v>95</v>
      </c>
      <c r="C145" s="66"/>
      <c r="D145" s="66"/>
      <c r="E145" s="66"/>
      <c r="F145" s="66"/>
      <c r="G145" s="66"/>
      <c r="H145" s="67" t="s">
        <v>96</v>
      </c>
      <c r="I145" s="68"/>
      <c r="J145" s="67" t="s">
        <v>97</v>
      </c>
      <c r="K145" s="71"/>
      <c r="L145" s="71"/>
      <c r="M145" s="71"/>
      <c r="N145" s="71"/>
      <c r="O145" s="71"/>
      <c r="P145" s="71"/>
      <c r="Q145" s="72">
        <f>ROUND(M146*J146,3)</f>
        <v>20.928000000000001</v>
      </c>
    </row>
    <row r="146" spans="1:17" s="18" customFormat="1" ht="43.5" customHeight="1" x14ac:dyDescent="0.25">
      <c r="A146" s="65"/>
      <c r="B146" s="65" t="s">
        <v>98</v>
      </c>
      <c r="C146" s="74"/>
      <c r="D146" s="74"/>
      <c r="E146" s="74"/>
      <c r="F146" s="74"/>
      <c r="G146" s="74"/>
      <c r="H146" s="69"/>
      <c r="I146" s="70"/>
      <c r="J146" s="75">
        <v>24</v>
      </c>
      <c r="K146" s="76"/>
      <c r="L146" s="76"/>
      <c r="M146" s="77">
        <f>ROUND(1*(146+84)*3.79/1000,3)</f>
        <v>0.872</v>
      </c>
      <c r="N146" s="78"/>
      <c r="O146" s="78"/>
      <c r="P146" s="78"/>
      <c r="Q146" s="73"/>
    </row>
    <row r="147" spans="1:17" s="18" customFormat="1" ht="78.75" customHeight="1" x14ac:dyDescent="0.25">
      <c r="A147" s="64">
        <v>2</v>
      </c>
      <c r="B147" s="64" t="s">
        <v>95</v>
      </c>
      <c r="C147" s="66"/>
      <c r="D147" s="66"/>
      <c r="E147" s="66"/>
      <c r="F147" s="66"/>
      <c r="G147" s="66"/>
      <c r="H147" s="67" t="s">
        <v>99</v>
      </c>
      <c r="I147" s="68"/>
      <c r="J147" s="67" t="s">
        <v>100</v>
      </c>
      <c r="K147" s="71"/>
      <c r="L147" s="71"/>
      <c r="M147" s="71"/>
      <c r="N147" s="71"/>
      <c r="O147" s="71"/>
      <c r="P147" s="71"/>
      <c r="Q147" s="72">
        <f>ROUND(M148*J148,3)</f>
        <v>4.1159999999999997</v>
      </c>
    </row>
    <row r="148" spans="1:17" s="18" customFormat="1" ht="99" customHeight="1" x14ac:dyDescent="0.25">
      <c r="A148" s="65"/>
      <c r="B148" s="65" t="s">
        <v>101</v>
      </c>
      <c r="C148" s="74"/>
      <c r="D148" s="74"/>
      <c r="E148" s="74"/>
      <c r="F148" s="74"/>
      <c r="G148" s="74"/>
      <c r="H148" s="69"/>
      <c r="I148" s="70"/>
      <c r="J148" s="75">
        <v>2</v>
      </c>
      <c r="K148" s="76"/>
      <c r="L148" s="76"/>
      <c r="M148" s="77">
        <f>ROUND(1*362*1.5*3.79/1000,3)</f>
        <v>2.0579999999999998</v>
      </c>
      <c r="N148" s="78"/>
      <c r="O148" s="78"/>
      <c r="P148" s="78"/>
      <c r="Q148" s="73"/>
    </row>
    <row r="149" spans="1:17" s="18" customFormat="1" ht="81" customHeight="1" x14ac:dyDescent="0.25">
      <c r="A149" s="64">
        <v>3</v>
      </c>
      <c r="B149" s="64" t="s">
        <v>95</v>
      </c>
      <c r="C149" s="66"/>
      <c r="D149" s="66"/>
      <c r="E149" s="66"/>
      <c r="F149" s="66"/>
      <c r="G149" s="66"/>
      <c r="H149" s="67" t="s">
        <v>102</v>
      </c>
      <c r="I149" s="68"/>
      <c r="J149" s="67" t="s">
        <v>103</v>
      </c>
      <c r="K149" s="71"/>
      <c r="L149" s="71"/>
      <c r="M149" s="71"/>
      <c r="N149" s="71"/>
      <c r="O149" s="71"/>
      <c r="P149" s="71"/>
      <c r="Q149" s="72">
        <f>ROUND(M150*J150,3)</f>
        <v>0.71699999999999997</v>
      </c>
    </row>
    <row r="150" spans="1:17" s="18" customFormat="1" ht="92.25" customHeight="1" x14ac:dyDescent="0.25">
      <c r="A150" s="65"/>
      <c r="B150" s="65" t="s">
        <v>104</v>
      </c>
      <c r="C150" s="74"/>
      <c r="D150" s="74"/>
      <c r="E150" s="74"/>
      <c r="F150" s="74"/>
      <c r="G150" s="74"/>
      <c r="H150" s="69"/>
      <c r="I150" s="70"/>
      <c r="J150" s="75">
        <v>3</v>
      </c>
      <c r="K150" s="76"/>
      <c r="L150" s="76"/>
      <c r="M150" s="77">
        <f>ROUND(1*63*3.79/1000,3)</f>
        <v>0.23899999999999999</v>
      </c>
      <c r="N150" s="78"/>
      <c r="O150" s="78"/>
      <c r="P150" s="78"/>
      <c r="Q150" s="73"/>
    </row>
    <row r="151" spans="1:17" s="18" customFormat="1" ht="79.5" customHeight="1" x14ac:dyDescent="0.25">
      <c r="A151" s="64">
        <v>4</v>
      </c>
      <c r="B151" s="64" t="s">
        <v>95</v>
      </c>
      <c r="C151" s="66"/>
      <c r="D151" s="66"/>
      <c r="E151" s="66"/>
      <c r="F151" s="66"/>
      <c r="G151" s="66"/>
      <c r="H151" s="67" t="s">
        <v>105</v>
      </c>
      <c r="I151" s="68"/>
      <c r="J151" s="67" t="s">
        <v>106</v>
      </c>
      <c r="K151" s="71"/>
      <c r="L151" s="71"/>
      <c r="M151" s="71"/>
      <c r="N151" s="71"/>
      <c r="O151" s="71"/>
      <c r="P151" s="71"/>
      <c r="Q151" s="72">
        <f>ROUND(M152*J152,3)</f>
        <v>41.640999999999998</v>
      </c>
    </row>
    <row r="152" spans="1:17" s="18" customFormat="1" ht="81" customHeight="1" x14ac:dyDescent="0.25">
      <c r="A152" s="65"/>
      <c r="B152" s="65" t="s">
        <v>107</v>
      </c>
      <c r="C152" s="74"/>
      <c r="D152" s="74"/>
      <c r="E152" s="74"/>
      <c r="F152" s="74"/>
      <c r="G152" s="74"/>
      <c r="H152" s="69"/>
      <c r="I152" s="70"/>
      <c r="J152" s="75">
        <v>1</v>
      </c>
      <c r="K152" s="76"/>
      <c r="L152" s="76"/>
      <c r="M152" s="77">
        <f>ROUND(1*10987*3.79/1000,3)</f>
        <v>41.640999999999998</v>
      </c>
      <c r="N152" s="78"/>
      <c r="O152" s="78"/>
      <c r="P152" s="78"/>
      <c r="Q152" s="73"/>
    </row>
    <row r="153" spans="1:17" s="18" customFormat="1" ht="79.5" customHeight="1" x14ac:dyDescent="0.25">
      <c r="A153" s="64">
        <v>5</v>
      </c>
      <c r="B153" s="64" t="s">
        <v>95</v>
      </c>
      <c r="C153" s="66"/>
      <c r="D153" s="66"/>
      <c r="E153" s="66"/>
      <c r="F153" s="66"/>
      <c r="G153" s="66"/>
      <c r="H153" s="67" t="s">
        <v>108</v>
      </c>
      <c r="I153" s="68"/>
      <c r="J153" s="67" t="s">
        <v>109</v>
      </c>
      <c r="K153" s="71"/>
      <c r="L153" s="71"/>
      <c r="M153" s="71"/>
      <c r="N153" s="71"/>
      <c r="O153" s="71"/>
      <c r="P153" s="71"/>
      <c r="Q153" s="72">
        <f>ROUND(M154*J154,3)</f>
        <v>5.4119999999999999</v>
      </c>
    </row>
    <row r="154" spans="1:17" s="18" customFormat="1" ht="93.75" customHeight="1" x14ac:dyDescent="0.25">
      <c r="A154" s="65"/>
      <c r="B154" s="65" t="s">
        <v>110</v>
      </c>
      <c r="C154" s="74"/>
      <c r="D154" s="74"/>
      <c r="E154" s="74"/>
      <c r="F154" s="74"/>
      <c r="G154" s="74"/>
      <c r="H154" s="69"/>
      <c r="I154" s="70"/>
      <c r="J154" s="75">
        <v>1</v>
      </c>
      <c r="K154" s="76"/>
      <c r="L154" s="76"/>
      <c r="M154" s="77">
        <f>ROUND(1*1428*3.79/1000,3)</f>
        <v>5.4119999999999999</v>
      </c>
      <c r="N154" s="78"/>
      <c r="O154" s="78"/>
      <c r="P154" s="78"/>
      <c r="Q154" s="73"/>
    </row>
    <row r="155" spans="1:17" s="18" customFormat="1" ht="81" customHeight="1" x14ac:dyDescent="0.25">
      <c r="A155" s="64">
        <v>6</v>
      </c>
      <c r="B155" s="64" t="s">
        <v>95</v>
      </c>
      <c r="C155" s="66"/>
      <c r="D155" s="66"/>
      <c r="E155" s="66"/>
      <c r="F155" s="66"/>
      <c r="G155" s="66"/>
      <c r="H155" s="67" t="s">
        <v>102</v>
      </c>
      <c r="I155" s="68"/>
      <c r="J155" s="67" t="s">
        <v>103</v>
      </c>
      <c r="K155" s="71"/>
      <c r="L155" s="71"/>
      <c r="M155" s="71"/>
      <c r="N155" s="71"/>
      <c r="O155" s="71"/>
      <c r="P155" s="71"/>
      <c r="Q155" s="72">
        <f>ROUND(M156*J156,3)</f>
        <v>0.28699999999999998</v>
      </c>
    </row>
    <row r="156" spans="1:17" s="18" customFormat="1" ht="98.25" customHeight="1" x14ac:dyDescent="0.25">
      <c r="A156" s="65"/>
      <c r="B156" s="65" t="s">
        <v>111</v>
      </c>
      <c r="C156" s="74"/>
      <c r="D156" s="74"/>
      <c r="E156" s="74"/>
      <c r="F156" s="74"/>
      <c r="G156" s="74"/>
      <c r="H156" s="69"/>
      <c r="I156" s="70"/>
      <c r="J156" s="75">
        <v>1.2</v>
      </c>
      <c r="K156" s="76"/>
      <c r="L156" s="76"/>
      <c r="M156" s="77">
        <f>ROUND(1*63*3.79/1000,3)</f>
        <v>0.23899999999999999</v>
      </c>
      <c r="N156" s="78"/>
      <c r="O156" s="78"/>
      <c r="P156" s="78"/>
      <c r="Q156" s="73"/>
    </row>
    <row r="157" spans="1:17" s="18" customFormat="1" ht="79.5" customHeight="1" x14ac:dyDescent="0.25">
      <c r="A157" s="64">
        <v>7</v>
      </c>
      <c r="B157" s="64" t="s">
        <v>95</v>
      </c>
      <c r="C157" s="66"/>
      <c r="D157" s="66"/>
      <c r="E157" s="66"/>
      <c r="F157" s="66"/>
      <c r="G157" s="66"/>
      <c r="H157" s="67" t="s">
        <v>112</v>
      </c>
      <c r="I157" s="68"/>
      <c r="J157" s="67" t="s">
        <v>113</v>
      </c>
      <c r="K157" s="71"/>
      <c r="L157" s="71"/>
      <c r="M157" s="71"/>
      <c r="N157" s="71"/>
      <c r="O157" s="71"/>
      <c r="P157" s="71"/>
      <c r="Q157" s="72">
        <f>ROUND(M158*J158,3)</f>
        <v>1.651</v>
      </c>
    </row>
    <row r="158" spans="1:17" s="18" customFormat="1" ht="57.75" customHeight="1" x14ac:dyDescent="0.25">
      <c r="A158" s="65"/>
      <c r="B158" s="65" t="s">
        <v>114</v>
      </c>
      <c r="C158" s="74"/>
      <c r="D158" s="74"/>
      <c r="E158" s="74"/>
      <c r="F158" s="74"/>
      <c r="G158" s="74"/>
      <c r="H158" s="69"/>
      <c r="I158" s="70"/>
      <c r="J158" s="75">
        <v>1.2</v>
      </c>
      <c r="K158" s="76"/>
      <c r="L158" s="76"/>
      <c r="M158" s="77">
        <f>ROUND(1*242*1.5*3.79/1000,3)</f>
        <v>1.3759999999999999</v>
      </c>
      <c r="N158" s="78"/>
      <c r="O158" s="78"/>
      <c r="P158" s="78"/>
      <c r="Q158" s="73"/>
    </row>
    <row r="159" spans="1:17" s="18" customFormat="1" ht="81" customHeight="1" x14ac:dyDescent="0.25">
      <c r="A159" s="64">
        <v>8</v>
      </c>
      <c r="B159" s="64" t="s">
        <v>95</v>
      </c>
      <c r="C159" s="66"/>
      <c r="D159" s="66"/>
      <c r="E159" s="66"/>
      <c r="F159" s="66"/>
      <c r="G159" s="66"/>
      <c r="H159" s="67" t="s">
        <v>115</v>
      </c>
      <c r="I159" s="68"/>
      <c r="J159" s="67" t="s">
        <v>116</v>
      </c>
      <c r="K159" s="71"/>
      <c r="L159" s="71"/>
      <c r="M159" s="71"/>
      <c r="N159" s="71"/>
      <c r="O159" s="71"/>
      <c r="P159" s="71"/>
      <c r="Q159" s="72">
        <f>ROUND(M160*J160,3)</f>
        <v>33.880000000000003</v>
      </c>
    </row>
    <row r="160" spans="1:17" s="18" customFormat="1" ht="108" customHeight="1" x14ac:dyDescent="0.25">
      <c r="A160" s="65"/>
      <c r="B160" s="65" t="s">
        <v>131</v>
      </c>
      <c r="C160" s="74"/>
      <c r="D160" s="74"/>
      <c r="E160" s="74"/>
      <c r="F160" s="74"/>
      <c r="G160" s="74"/>
      <c r="H160" s="69"/>
      <c r="I160" s="70"/>
      <c r="J160" s="75">
        <v>7</v>
      </c>
      <c r="K160" s="76"/>
      <c r="L160" s="76"/>
      <c r="M160" s="77">
        <f>ROUND(1*1277*3.79/1000,3)</f>
        <v>4.84</v>
      </c>
      <c r="N160" s="78"/>
      <c r="O160" s="78"/>
      <c r="P160" s="78"/>
      <c r="Q160" s="73"/>
    </row>
    <row r="161" spans="1:17" s="18" customFormat="1" ht="78" customHeight="1" x14ac:dyDescent="0.25">
      <c r="A161" s="64">
        <v>9</v>
      </c>
      <c r="B161" s="64" t="s">
        <v>95</v>
      </c>
      <c r="C161" s="66"/>
      <c r="D161" s="66"/>
      <c r="E161" s="66"/>
      <c r="F161" s="66"/>
      <c r="G161" s="66"/>
      <c r="H161" s="67" t="s">
        <v>117</v>
      </c>
      <c r="I161" s="68"/>
      <c r="J161" s="67" t="s">
        <v>118</v>
      </c>
      <c r="K161" s="71"/>
      <c r="L161" s="71"/>
      <c r="M161" s="71"/>
      <c r="N161" s="71"/>
      <c r="O161" s="71"/>
      <c r="P161" s="71"/>
      <c r="Q161" s="72">
        <f>ROUND(M162*J162,3)</f>
        <v>4.93</v>
      </c>
    </row>
    <row r="162" spans="1:17" s="18" customFormat="1" ht="57.75" customHeight="1" x14ac:dyDescent="0.25">
      <c r="A162" s="65"/>
      <c r="B162" s="65" t="s">
        <v>119</v>
      </c>
      <c r="C162" s="74"/>
      <c r="D162" s="74"/>
      <c r="E162" s="74"/>
      <c r="F162" s="74"/>
      <c r="G162" s="74"/>
      <c r="H162" s="69"/>
      <c r="I162" s="70"/>
      <c r="J162" s="75">
        <v>10</v>
      </c>
      <c r="K162" s="76"/>
      <c r="L162" s="76"/>
      <c r="M162" s="77">
        <f>ROUND(1*130*3.79/1000,3)</f>
        <v>0.49299999999999999</v>
      </c>
      <c r="N162" s="78"/>
      <c r="O162" s="78"/>
      <c r="P162" s="78"/>
      <c r="Q162" s="73"/>
    </row>
    <row r="163" spans="1:17" s="18" customFormat="1" ht="81.75" customHeight="1" x14ac:dyDescent="0.25">
      <c r="A163" s="64">
        <v>10</v>
      </c>
      <c r="B163" s="64" t="s">
        <v>95</v>
      </c>
      <c r="C163" s="66"/>
      <c r="D163" s="66"/>
      <c r="E163" s="66"/>
      <c r="F163" s="66"/>
      <c r="G163" s="66"/>
      <c r="H163" s="67" t="s">
        <v>120</v>
      </c>
      <c r="I163" s="68"/>
      <c r="J163" s="67" t="s">
        <v>97</v>
      </c>
      <c r="K163" s="71"/>
      <c r="L163" s="71"/>
      <c r="M163" s="71"/>
      <c r="N163" s="71"/>
      <c r="O163" s="71"/>
      <c r="P163" s="71"/>
      <c r="Q163" s="72">
        <f>ROUND(M164*J164,3)</f>
        <v>3.488</v>
      </c>
    </row>
    <row r="164" spans="1:17" s="18" customFormat="1" ht="47.25" customHeight="1" x14ac:dyDescent="0.25">
      <c r="A164" s="65"/>
      <c r="B164" s="65" t="s">
        <v>121</v>
      </c>
      <c r="C164" s="74"/>
      <c r="D164" s="74"/>
      <c r="E164" s="74"/>
      <c r="F164" s="74"/>
      <c r="G164" s="74"/>
      <c r="H164" s="69"/>
      <c r="I164" s="70"/>
      <c r="J164" s="75">
        <v>4</v>
      </c>
      <c r="K164" s="76"/>
      <c r="L164" s="76"/>
      <c r="M164" s="77">
        <f>ROUND(1*(146+84)*3.79/1000,3)</f>
        <v>0.872</v>
      </c>
      <c r="N164" s="78"/>
      <c r="O164" s="78"/>
      <c r="P164" s="78"/>
      <c r="Q164" s="73"/>
    </row>
    <row r="165" spans="1:17" s="18" customFormat="1" ht="79.5" customHeight="1" x14ac:dyDescent="0.25">
      <c r="A165" s="64">
        <v>11</v>
      </c>
      <c r="B165" s="64" t="s">
        <v>95</v>
      </c>
      <c r="C165" s="66"/>
      <c r="D165" s="66"/>
      <c r="E165" s="66"/>
      <c r="F165" s="66"/>
      <c r="G165" s="66"/>
      <c r="H165" s="67" t="s">
        <v>122</v>
      </c>
      <c r="I165" s="68"/>
      <c r="J165" s="67" t="s">
        <v>123</v>
      </c>
      <c r="K165" s="71"/>
      <c r="L165" s="71"/>
      <c r="M165" s="71"/>
      <c r="N165" s="71"/>
      <c r="O165" s="71"/>
      <c r="P165" s="71"/>
      <c r="Q165" s="72">
        <f>ROUND(M166*J166,3)</f>
        <v>14.574999999999999</v>
      </c>
    </row>
    <row r="166" spans="1:17" s="18" customFormat="1" ht="81.75" customHeight="1" x14ac:dyDescent="0.25">
      <c r="A166" s="65"/>
      <c r="B166" s="65" t="s">
        <v>124</v>
      </c>
      <c r="C166" s="74"/>
      <c r="D166" s="74"/>
      <c r="E166" s="74"/>
      <c r="F166" s="74"/>
      <c r="G166" s="74"/>
      <c r="H166" s="69"/>
      <c r="I166" s="70"/>
      <c r="J166" s="75">
        <v>5</v>
      </c>
      <c r="K166" s="76"/>
      <c r="L166" s="76"/>
      <c r="M166" s="77">
        <f>ROUND(1*(502+267)*3.79/1000,3)</f>
        <v>2.915</v>
      </c>
      <c r="N166" s="78"/>
      <c r="O166" s="78"/>
      <c r="P166" s="78"/>
      <c r="Q166" s="73"/>
    </row>
    <row r="167" spans="1:17" s="18" customFormat="1" ht="48.75" customHeight="1" x14ac:dyDescent="0.25">
      <c r="A167" s="64">
        <v>12</v>
      </c>
      <c r="B167" s="64" t="s">
        <v>125</v>
      </c>
      <c r="C167" s="66"/>
      <c r="D167" s="66"/>
      <c r="E167" s="66"/>
      <c r="F167" s="66"/>
      <c r="G167" s="66"/>
      <c r="H167" s="67" t="s">
        <v>126</v>
      </c>
      <c r="I167" s="68"/>
      <c r="J167" s="67" t="s">
        <v>127</v>
      </c>
      <c r="K167" s="71"/>
      <c r="L167" s="71"/>
      <c r="M167" s="71"/>
      <c r="N167" s="71"/>
      <c r="O167" s="71"/>
      <c r="P167" s="71"/>
      <c r="Q167" s="72">
        <f>ROUND(M168*J168,3)</f>
        <v>9.4580000000000002</v>
      </c>
    </row>
    <row r="168" spans="1:17" s="18" customFormat="1" ht="81" customHeight="1" x14ac:dyDescent="0.25">
      <c r="A168" s="65"/>
      <c r="B168" s="65" t="s">
        <v>128</v>
      </c>
      <c r="C168" s="74"/>
      <c r="D168" s="74"/>
      <c r="E168" s="74"/>
      <c r="F168" s="74"/>
      <c r="G168" s="74"/>
      <c r="H168" s="69"/>
      <c r="I168" s="70"/>
      <c r="J168" s="75">
        <v>0.5</v>
      </c>
      <c r="K168" s="76"/>
      <c r="L168" s="76"/>
      <c r="M168" s="77">
        <f>ROUND(1*4991*2*0.5*3.79/1000,3)</f>
        <v>18.916</v>
      </c>
      <c r="N168" s="78"/>
      <c r="O168" s="78"/>
      <c r="P168" s="78"/>
      <c r="Q168" s="73"/>
    </row>
    <row r="169" spans="1:17" s="18" customFormat="1" ht="44.25" customHeight="1" x14ac:dyDescent="0.25">
      <c r="A169" s="64">
        <v>13</v>
      </c>
      <c r="B169" s="64" t="s">
        <v>125</v>
      </c>
      <c r="C169" s="66"/>
      <c r="D169" s="66"/>
      <c r="E169" s="66"/>
      <c r="F169" s="66"/>
      <c r="G169" s="66"/>
      <c r="H169" s="67" t="s">
        <v>126</v>
      </c>
      <c r="I169" s="68"/>
      <c r="J169" s="67" t="s">
        <v>129</v>
      </c>
      <c r="K169" s="71"/>
      <c r="L169" s="71"/>
      <c r="M169" s="71"/>
      <c r="N169" s="71"/>
      <c r="O169" s="71"/>
      <c r="P169" s="71"/>
      <c r="Q169" s="72">
        <f>ROUND(M170*J170,3)</f>
        <v>3.2069999999999999</v>
      </c>
    </row>
    <row r="170" spans="1:17" s="18" customFormat="1" ht="82.5" customHeight="1" x14ac:dyDescent="0.25">
      <c r="A170" s="65"/>
      <c r="B170" s="65" t="s">
        <v>130</v>
      </c>
      <c r="C170" s="74"/>
      <c r="D170" s="74"/>
      <c r="E170" s="74"/>
      <c r="F170" s="74"/>
      <c r="G170" s="74"/>
      <c r="H170" s="69"/>
      <c r="I170" s="70"/>
      <c r="J170" s="75">
        <v>0.5</v>
      </c>
      <c r="K170" s="76"/>
      <c r="L170" s="76"/>
      <c r="M170" s="77">
        <f>ROUND(1*1692*2*0.5*3.79/1000,3)</f>
        <v>6.4130000000000003</v>
      </c>
      <c r="N170" s="78"/>
      <c r="O170" s="78"/>
      <c r="P170" s="78"/>
      <c r="Q170" s="73"/>
    </row>
    <row r="171" spans="1:17" s="18" customFormat="1" ht="57" customHeight="1" x14ac:dyDescent="0.25">
      <c r="A171" s="64">
        <v>14</v>
      </c>
      <c r="B171" s="64" t="s">
        <v>125</v>
      </c>
      <c r="C171" s="66"/>
      <c r="D171" s="66"/>
      <c r="E171" s="66"/>
      <c r="F171" s="66"/>
      <c r="G171" s="66"/>
      <c r="H171" s="67" t="s">
        <v>135</v>
      </c>
      <c r="I171" s="68"/>
      <c r="J171" s="67" t="s">
        <v>136</v>
      </c>
      <c r="K171" s="71"/>
      <c r="L171" s="71"/>
      <c r="M171" s="71"/>
      <c r="N171" s="71"/>
      <c r="O171" s="71"/>
      <c r="P171" s="71"/>
      <c r="Q171" s="72">
        <f>ROUND(M172*J172,3)</f>
        <v>36.872999999999998</v>
      </c>
    </row>
    <row r="172" spans="1:17" s="18" customFormat="1" ht="100.5" customHeight="1" x14ac:dyDescent="0.25">
      <c r="A172" s="65"/>
      <c r="B172" s="65" t="s">
        <v>134</v>
      </c>
      <c r="C172" s="74"/>
      <c r="D172" s="74"/>
      <c r="E172" s="74"/>
      <c r="F172" s="74"/>
      <c r="G172" s="74"/>
      <c r="H172" s="69"/>
      <c r="I172" s="70"/>
      <c r="J172" s="75">
        <v>1</v>
      </c>
      <c r="K172" s="76"/>
      <c r="L172" s="76"/>
      <c r="M172" s="77">
        <f>ROUND(1*(24*146*3.79/1000+6.174+41.641+1.651+67.76+17.748+36*146*3.79/1000+10*502*3.79/1000+9.458)*0.1875,3)</f>
        <v>36.872999999999998</v>
      </c>
      <c r="N172" s="78"/>
      <c r="O172" s="78"/>
      <c r="P172" s="78"/>
      <c r="Q172" s="73"/>
    </row>
    <row r="173" spans="1:17" s="28" customFormat="1" ht="19.350000000000001" customHeight="1" x14ac:dyDescent="0.25">
      <c r="A173" s="43" t="s">
        <v>144</v>
      </c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5"/>
      <c r="Q173" s="27">
        <f>SUM(Q145:Q172)</f>
        <v>181.16299999999998</v>
      </c>
    </row>
    <row r="174" spans="1:17" s="21" customFormat="1" ht="21.75" customHeight="1" x14ac:dyDescent="0.25">
      <c r="A174" s="61" t="s">
        <v>145</v>
      </c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3"/>
    </row>
    <row r="175" spans="1:17" s="18" customFormat="1" ht="48.75" customHeight="1" x14ac:dyDescent="0.25">
      <c r="A175" s="64">
        <v>1</v>
      </c>
      <c r="B175" s="64" t="s">
        <v>137</v>
      </c>
      <c r="C175" s="66"/>
      <c r="D175" s="66"/>
      <c r="E175" s="66"/>
      <c r="F175" s="66"/>
      <c r="G175" s="66"/>
      <c r="H175" s="67" t="s">
        <v>285</v>
      </c>
      <c r="I175" s="68"/>
      <c r="J175" s="67" t="s">
        <v>289</v>
      </c>
      <c r="K175" s="71"/>
      <c r="L175" s="71"/>
      <c r="M175" s="71"/>
      <c r="N175" s="71"/>
      <c r="O175" s="71"/>
      <c r="P175" s="71"/>
      <c r="Q175" s="72">
        <f>ROUND(M176*J176,3)</f>
        <v>299.76900000000001</v>
      </c>
    </row>
    <row r="176" spans="1:17" s="18" customFormat="1" ht="68.25" customHeight="1" x14ac:dyDescent="0.25">
      <c r="A176" s="65"/>
      <c r="B176" s="65" t="s">
        <v>288</v>
      </c>
      <c r="C176" s="74"/>
      <c r="D176" s="74"/>
      <c r="E176" s="74"/>
      <c r="F176" s="74"/>
      <c r="G176" s="74"/>
      <c r="H176" s="69"/>
      <c r="I176" s="70"/>
      <c r="J176" s="75">
        <v>1</v>
      </c>
      <c r="K176" s="76"/>
      <c r="L176" s="76"/>
      <c r="M176" s="77">
        <f>ROUND(1*(183.72+0.0019*1400)*0.98*0.4*1.1*3.73,3)</f>
        <v>299.76900000000001</v>
      </c>
      <c r="N176" s="78"/>
      <c r="O176" s="78"/>
      <c r="P176" s="78"/>
      <c r="Q176" s="73"/>
    </row>
    <row r="177" spans="1:17" s="18" customFormat="1" ht="48.75" customHeight="1" x14ac:dyDescent="0.25">
      <c r="A177" s="64">
        <v>2</v>
      </c>
      <c r="B177" s="64" t="s">
        <v>137</v>
      </c>
      <c r="C177" s="66"/>
      <c r="D177" s="66"/>
      <c r="E177" s="66"/>
      <c r="F177" s="66"/>
      <c r="G177" s="66"/>
      <c r="H177" s="67" t="s">
        <v>286</v>
      </c>
      <c r="I177" s="68"/>
      <c r="J177" s="67" t="s">
        <v>290</v>
      </c>
      <c r="K177" s="71"/>
      <c r="L177" s="71"/>
      <c r="M177" s="71"/>
      <c r="N177" s="71"/>
      <c r="O177" s="71"/>
      <c r="P177" s="71"/>
      <c r="Q177" s="72">
        <f>ROUND(M178*J178,3)</f>
        <v>449.654</v>
      </c>
    </row>
    <row r="178" spans="1:17" s="18" customFormat="1" ht="67.5" customHeight="1" x14ac:dyDescent="0.25">
      <c r="A178" s="65"/>
      <c r="B178" s="65" t="s">
        <v>287</v>
      </c>
      <c r="C178" s="74"/>
      <c r="D178" s="74"/>
      <c r="E178" s="74"/>
      <c r="F178" s="74"/>
      <c r="G178" s="74"/>
      <c r="H178" s="69"/>
      <c r="I178" s="70"/>
      <c r="J178" s="75">
        <v>1</v>
      </c>
      <c r="K178" s="76"/>
      <c r="L178" s="76"/>
      <c r="M178" s="77">
        <f>ROUND(1*(183.72+0.0019*1400)*0.98*0.6*1.1*3.73,3)</f>
        <v>449.654</v>
      </c>
      <c r="N178" s="78"/>
      <c r="O178" s="78"/>
      <c r="P178" s="78"/>
      <c r="Q178" s="73"/>
    </row>
    <row r="179" spans="1:17" s="18" customFormat="1" ht="44.25" customHeight="1" x14ac:dyDescent="0.25">
      <c r="A179" s="29">
        <v>3</v>
      </c>
      <c r="B179" s="64" t="s">
        <v>138</v>
      </c>
      <c r="C179" s="66"/>
      <c r="D179" s="66"/>
      <c r="E179" s="66"/>
      <c r="F179" s="66"/>
      <c r="G179" s="66"/>
      <c r="H179" s="67" t="s">
        <v>292</v>
      </c>
      <c r="I179" s="68"/>
      <c r="J179" s="67" t="s">
        <v>294</v>
      </c>
      <c r="K179" s="71"/>
      <c r="L179" s="71"/>
      <c r="M179" s="71"/>
      <c r="N179" s="71"/>
      <c r="O179" s="71"/>
      <c r="P179" s="71"/>
      <c r="Q179" s="72">
        <f>ROUND(M180*J180,3)</f>
        <v>66.13</v>
      </c>
    </row>
    <row r="180" spans="1:17" s="18" customFormat="1" ht="67.5" customHeight="1" x14ac:dyDescent="0.25">
      <c r="A180" s="30"/>
      <c r="B180" s="65" t="s">
        <v>293</v>
      </c>
      <c r="C180" s="74"/>
      <c r="D180" s="74"/>
      <c r="E180" s="74"/>
      <c r="F180" s="74"/>
      <c r="G180" s="74"/>
      <c r="H180" s="69"/>
      <c r="I180" s="70"/>
      <c r="J180" s="75">
        <v>1</v>
      </c>
      <c r="K180" s="76"/>
      <c r="L180" s="76"/>
      <c r="M180" s="77">
        <f>ROUND(1*972*28.73*1.15*1.2*1.3*1.1*1.2/1000,3)</f>
        <v>66.13</v>
      </c>
      <c r="N180" s="78"/>
      <c r="O180" s="78"/>
      <c r="P180" s="78"/>
      <c r="Q180" s="73"/>
    </row>
    <row r="181" spans="1:17" s="18" customFormat="1" ht="30" customHeight="1" x14ac:dyDescent="0.25">
      <c r="A181" s="31">
        <v>4</v>
      </c>
      <c r="B181" s="79" t="s">
        <v>139</v>
      </c>
      <c r="C181" s="80"/>
      <c r="D181" s="80"/>
      <c r="E181" s="80"/>
      <c r="F181" s="80"/>
      <c r="G181" s="80"/>
      <c r="H181" s="81" t="s">
        <v>291</v>
      </c>
      <c r="I181" s="82"/>
      <c r="J181" s="81" t="s">
        <v>296</v>
      </c>
      <c r="K181" s="83"/>
      <c r="L181" s="83"/>
      <c r="M181" s="83"/>
      <c r="N181" s="83"/>
      <c r="O181" s="83"/>
      <c r="P181" s="83"/>
      <c r="Q181" s="84">
        <f>ROUND(M182*J182,3)</f>
        <v>154.99799999999999</v>
      </c>
    </row>
    <row r="182" spans="1:17" s="18" customFormat="1" ht="47.25" customHeight="1" x14ac:dyDescent="0.25">
      <c r="A182" s="31"/>
      <c r="B182" s="65" t="s">
        <v>295</v>
      </c>
      <c r="C182" s="74"/>
      <c r="D182" s="74"/>
      <c r="E182" s="74"/>
      <c r="F182" s="74"/>
      <c r="G182" s="74"/>
      <c r="H182" s="69"/>
      <c r="I182" s="70"/>
      <c r="J182" s="75">
        <v>1</v>
      </c>
      <c r="K182" s="76"/>
      <c r="L182" s="76"/>
      <c r="M182" s="77">
        <f>ROUND(1*(4317+539*2)*28.73/1000,3)</f>
        <v>154.99799999999999</v>
      </c>
      <c r="N182" s="78"/>
      <c r="O182" s="78"/>
      <c r="P182" s="78"/>
      <c r="Q182" s="73"/>
    </row>
    <row r="183" spans="1:17" s="18" customFormat="1" ht="25.5" customHeight="1" x14ac:dyDescent="0.25">
      <c r="A183" s="64">
        <v>5</v>
      </c>
      <c r="B183" s="64" t="s">
        <v>15</v>
      </c>
      <c r="C183" s="66"/>
      <c r="D183" s="66"/>
      <c r="E183" s="66"/>
      <c r="F183" s="66"/>
      <c r="G183" s="66"/>
      <c r="H183" s="67" t="s">
        <v>171</v>
      </c>
      <c r="I183" s="68"/>
      <c r="J183" s="67" t="s">
        <v>172</v>
      </c>
      <c r="K183" s="71"/>
      <c r="L183" s="71"/>
      <c r="M183" s="71"/>
      <c r="N183" s="71"/>
      <c r="O183" s="71"/>
      <c r="P183" s="71"/>
      <c r="Q183" s="72">
        <f>ROUND(M184*J184,3)</f>
        <v>44.064</v>
      </c>
    </row>
    <row r="184" spans="1:17" s="18" customFormat="1" ht="83.25" customHeight="1" x14ac:dyDescent="0.25">
      <c r="A184" s="65"/>
      <c r="B184" s="65" t="s">
        <v>179</v>
      </c>
      <c r="C184" s="74"/>
      <c r="D184" s="74"/>
      <c r="E184" s="74"/>
      <c r="F184" s="74"/>
      <c r="G184" s="74"/>
      <c r="H184" s="69"/>
      <c r="I184" s="70"/>
      <c r="J184" s="75">
        <v>1</v>
      </c>
      <c r="K184" s="76"/>
      <c r="L184" s="76"/>
      <c r="M184" s="77">
        <f>ROUND(1*13.6*1.25*2592/1000,3)</f>
        <v>44.064</v>
      </c>
      <c r="N184" s="78"/>
      <c r="O184" s="78"/>
      <c r="P184" s="78"/>
      <c r="Q184" s="73"/>
    </row>
    <row r="185" spans="1:17" s="18" customFormat="1" ht="25.5" customHeight="1" x14ac:dyDescent="0.25">
      <c r="A185" s="64">
        <v>26</v>
      </c>
      <c r="B185" s="64" t="s">
        <v>15</v>
      </c>
      <c r="C185" s="66"/>
      <c r="D185" s="66"/>
      <c r="E185" s="66"/>
      <c r="F185" s="66"/>
      <c r="G185" s="66"/>
      <c r="H185" s="67" t="s">
        <v>173</v>
      </c>
      <c r="I185" s="68"/>
      <c r="J185" s="67" t="s">
        <v>174</v>
      </c>
      <c r="K185" s="71"/>
      <c r="L185" s="71"/>
      <c r="M185" s="71"/>
      <c r="N185" s="71"/>
      <c r="O185" s="71"/>
      <c r="P185" s="71"/>
      <c r="Q185" s="72">
        <f>ROUND(M186*J186,3)</f>
        <v>46.5</v>
      </c>
    </row>
    <row r="186" spans="1:17" s="18" customFormat="1" ht="81" customHeight="1" x14ac:dyDescent="0.25">
      <c r="A186" s="65"/>
      <c r="B186" s="65" t="s">
        <v>178</v>
      </c>
      <c r="C186" s="74"/>
      <c r="D186" s="74"/>
      <c r="E186" s="74"/>
      <c r="F186" s="74"/>
      <c r="G186" s="74"/>
      <c r="H186" s="69"/>
      <c r="I186" s="70"/>
      <c r="J186" s="75">
        <v>1</v>
      </c>
      <c r="K186" s="76"/>
      <c r="L186" s="76"/>
      <c r="M186" s="77">
        <f>ROUND(1*11.96*1.5*2592/1000,3)</f>
        <v>46.5</v>
      </c>
      <c r="N186" s="78"/>
      <c r="O186" s="78"/>
      <c r="P186" s="78"/>
      <c r="Q186" s="73"/>
    </row>
    <row r="187" spans="1:17" s="18" customFormat="1" ht="27.75" customHeight="1" x14ac:dyDescent="0.25">
      <c r="A187" s="64">
        <v>6</v>
      </c>
      <c r="B187" s="64" t="s">
        <v>15</v>
      </c>
      <c r="C187" s="66"/>
      <c r="D187" s="66"/>
      <c r="E187" s="66"/>
      <c r="F187" s="66"/>
      <c r="G187" s="66"/>
      <c r="H187" s="67" t="s">
        <v>175</v>
      </c>
      <c r="I187" s="68"/>
      <c r="J187" s="67" t="s">
        <v>176</v>
      </c>
      <c r="K187" s="71"/>
      <c r="L187" s="71"/>
      <c r="M187" s="71"/>
      <c r="N187" s="71"/>
      <c r="O187" s="71"/>
      <c r="P187" s="71"/>
      <c r="Q187" s="72">
        <f>ROUND(M188*J188,3)</f>
        <v>20.038</v>
      </c>
    </row>
    <row r="188" spans="1:17" s="18" customFormat="1" ht="80.25" customHeight="1" x14ac:dyDescent="0.25">
      <c r="A188" s="65"/>
      <c r="B188" s="65" t="s">
        <v>177</v>
      </c>
      <c r="C188" s="74"/>
      <c r="D188" s="74"/>
      <c r="E188" s="74"/>
      <c r="F188" s="74"/>
      <c r="G188" s="74"/>
      <c r="H188" s="69"/>
      <c r="I188" s="70"/>
      <c r="J188" s="75">
        <v>1</v>
      </c>
      <c r="K188" s="76"/>
      <c r="L188" s="76"/>
      <c r="M188" s="77">
        <f>ROUND(1*5.02*1.4*1.1*2592/1000,3)</f>
        <v>20.038</v>
      </c>
      <c r="N188" s="78"/>
      <c r="O188" s="78"/>
      <c r="P188" s="78"/>
      <c r="Q188" s="73"/>
    </row>
    <row r="189" spans="1:17" s="18" customFormat="1" ht="29.25" customHeight="1" x14ac:dyDescent="0.25">
      <c r="A189" s="64">
        <v>26</v>
      </c>
      <c r="B189" s="64" t="s">
        <v>15</v>
      </c>
      <c r="C189" s="66"/>
      <c r="D189" s="66"/>
      <c r="E189" s="66"/>
      <c r="F189" s="66"/>
      <c r="G189" s="66"/>
      <c r="H189" s="67" t="s">
        <v>180</v>
      </c>
      <c r="I189" s="68"/>
      <c r="J189" s="67" t="s">
        <v>182</v>
      </c>
      <c r="K189" s="71"/>
      <c r="L189" s="71"/>
      <c r="M189" s="71"/>
      <c r="N189" s="71"/>
      <c r="O189" s="71"/>
      <c r="P189" s="71"/>
      <c r="Q189" s="72">
        <f>ROUND(M190*J190,3)</f>
        <v>24.728000000000002</v>
      </c>
    </row>
    <row r="190" spans="1:17" s="18" customFormat="1" ht="81.75" customHeight="1" x14ac:dyDescent="0.25">
      <c r="A190" s="65"/>
      <c r="B190" s="65" t="s">
        <v>181</v>
      </c>
      <c r="C190" s="74"/>
      <c r="D190" s="74"/>
      <c r="E190" s="74"/>
      <c r="F190" s="74"/>
      <c r="G190" s="74"/>
      <c r="H190" s="69"/>
      <c r="I190" s="70"/>
      <c r="J190" s="75">
        <v>1</v>
      </c>
      <c r="K190" s="76"/>
      <c r="L190" s="76"/>
      <c r="M190" s="77">
        <f>ROUND(1*7.95*1.2*2592/1000,3)</f>
        <v>24.728000000000002</v>
      </c>
      <c r="N190" s="78"/>
      <c r="O190" s="78"/>
      <c r="P190" s="78"/>
      <c r="Q190" s="73"/>
    </row>
    <row r="191" spans="1:17" s="18" customFormat="1" ht="25.5" customHeight="1" x14ac:dyDescent="0.25">
      <c r="A191" s="64">
        <v>7</v>
      </c>
      <c r="B191" s="64" t="s">
        <v>15</v>
      </c>
      <c r="C191" s="66"/>
      <c r="D191" s="66"/>
      <c r="E191" s="66"/>
      <c r="F191" s="66"/>
      <c r="G191" s="66"/>
      <c r="H191" s="67" t="s">
        <v>165</v>
      </c>
      <c r="I191" s="68"/>
      <c r="J191" s="67" t="s">
        <v>141</v>
      </c>
      <c r="K191" s="71"/>
      <c r="L191" s="71"/>
      <c r="M191" s="71"/>
      <c r="N191" s="71"/>
      <c r="O191" s="71"/>
      <c r="P191" s="71"/>
      <c r="Q191" s="72">
        <f>ROUND(M192*J192,3)</f>
        <v>53.246000000000002</v>
      </c>
    </row>
    <row r="192" spans="1:17" s="18" customFormat="1" ht="111" customHeight="1" x14ac:dyDescent="0.25">
      <c r="A192" s="65"/>
      <c r="B192" s="65" t="s">
        <v>142</v>
      </c>
      <c r="C192" s="74"/>
      <c r="D192" s="74"/>
      <c r="E192" s="74"/>
      <c r="F192" s="74"/>
      <c r="G192" s="74"/>
      <c r="H192" s="69"/>
      <c r="I192" s="70"/>
      <c r="J192" s="75">
        <v>0.5</v>
      </c>
      <c r="K192" s="76"/>
      <c r="L192" s="76"/>
      <c r="M192" s="77">
        <f>ROUND(1*37.35*1.1*540*1.2*4/1000,3)</f>
        <v>106.492</v>
      </c>
      <c r="N192" s="78"/>
      <c r="O192" s="78"/>
      <c r="P192" s="78"/>
      <c r="Q192" s="73"/>
    </row>
    <row r="193" spans="1:17" s="18" customFormat="1" ht="22.5" customHeight="1" x14ac:dyDescent="0.25">
      <c r="A193" s="64">
        <v>8</v>
      </c>
      <c r="B193" s="64" t="s">
        <v>15</v>
      </c>
      <c r="C193" s="66"/>
      <c r="D193" s="66"/>
      <c r="E193" s="66"/>
      <c r="F193" s="66"/>
      <c r="G193" s="66"/>
      <c r="H193" s="67" t="s">
        <v>183</v>
      </c>
      <c r="I193" s="68"/>
      <c r="J193" s="67" t="s">
        <v>185</v>
      </c>
      <c r="K193" s="71"/>
      <c r="L193" s="71"/>
      <c r="M193" s="71"/>
      <c r="N193" s="71"/>
      <c r="O193" s="71"/>
      <c r="P193" s="71"/>
      <c r="Q193" s="72">
        <f>ROUND(M194*J194,3)</f>
        <v>14.8</v>
      </c>
    </row>
    <row r="194" spans="1:17" s="18" customFormat="1" ht="80.25" customHeight="1" x14ac:dyDescent="0.25">
      <c r="A194" s="65"/>
      <c r="B194" s="65" t="s">
        <v>184</v>
      </c>
      <c r="C194" s="74"/>
      <c r="D194" s="74"/>
      <c r="E194" s="74"/>
      <c r="F194" s="74"/>
      <c r="G194" s="74"/>
      <c r="H194" s="69"/>
      <c r="I194" s="70"/>
      <c r="J194" s="75">
        <v>1</v>
      </c>
      <c r="K194" s="76"/>
      <c r="L194" s="76"/>
      <c r="M194" s="77">
        <f>ROUND(1*5.71*2592/1000,3)</f>
        <v>14.8</v>
      </c>
      <c r="N194" s="78"/>
      <c r="O194" s="78"/>
      <c r="P194" s="78"/>
      <c r="Q194" s="73"/>
    </row>
    <row r="195" spans="1:17" s="18" customFormat="1" ht="29.25" customHeight="1" x14ac:dyDescent="0.25">
      <c r="A195" s="64">
        <v>9</v>
      </c>
      <c r="B195" s="64" t="s">
        <v>15</v>
      </c>
      <c r="C195" s="66"/>
      <c r="D195" s="66"/>
      <c r="E195" s="66"/>
      <c r="F195" s="66"/>
      <c r="G195" s="66"/>
      <c r="H195" s="67" t="s">
        <v>186</v>
      </c>
      <c r="I195" s="68"/>
      <c r="J195" s="67" t="s">
        <v>188</v>
      </c>
      <c r="K195" s="71"/>
      <c r="L195" s="71"/>
      <c r="M195" s="71"/>
      <c r="N195" s="71"/>
      <c r="O195" s="71"/>
      <c r="P195" s="71"/>
      <c r="Q195" s="72">
        <f>ROUND(M196*J196,3)</f>
        <v>13.012</v>
      </c>
    </row>
    <row r="196" spans="1:17" s="18" customFormat="1" ht="87" customHeight="1" x14ac:dyDescent="0.25">
      <c r="A196" s="65"/>
      <c r="B196" s="65" t="s">
        <v>187</v>
      </c>
      <c r="C196" s="74"/>
      <c r="D196" s="74"/>
      <c r="E196" s="74"/>
      <c r="F196" s="74"/>
      <c r="G196" s="74"/>
      <c r="H196" s="69"/>
      <c r="I196" s="70"/>
      <c r="J196" s="75">
        <v>1</v>
      </c>
      <c r="K196" s="76"/>
      <c r="L196" s="76"/>
      <c r="M196" s="77">
        <f>ROUND(1*5.02*2592/1000,3)</f>
        <v>13.012</v>
      </c>
      <c r="N196" s="78"/>
      <c r="O196" s="78"/>
      <c r="P196" s="78"/>
      <c r="Q196" s="73"/>
    </row>
    <row r="197" spans="1:17" s="18" customFormat="1" ht="29.25" customHeight="1" x14ac:dyDescent="0.25">
      <c r="A197" s="64">
        <v>10</v>
      </c>
      <c r="B197" s="64" t="s">
        <v>15</v>
      </c>
      <c r="C197" s="66"/>
      <c r="D197" s="66"/>
      <c r="E197" s="66"/>
      <c r="F197" s="66"/>
      <c r="G197" s="66"/>
      <c r="H197" s="67" t="s">
        <v>189</v>
      </c>
      <c r="I197" s="68"/>
      <c r="J197" s="67" t="s">
        <v>191</v>
      </c>
      <c r="K197" s="71"/>
      <c r="L197" s="71"/>
      <c r="M197" s="71"/>
      <c r="N197" s="71"/>
      <c r="O197" s="71"/>
      <c r="P197" s="71"/>
      <c r="Q197" s="72">
        <f>ROUND(M198*J198,3)</f>
        <v>5.4690000000000003</v>
      </c>
    </row>
    <row r="198" spans="1:17" s="18" customFormat="1" ht="84.75" customHeight="1" x14ac:dyDescent="0.25">
      <c r="A198" s="65"/>
      <c r="B198" s="65" t="s">
        <v>190</v>
      </c>
      <c r="C198" s="74"/>
      <c r="D198" s="74"/>
      <c r="E198" s="74"/>
      <c r="F198" s="74"/>
      <c r="G198" s="74"/>
      <c r="H198" s="69"/>
      <c r="I198" s="70"/>
      <c r="J198" s="75">
        <v>1</v>
      </c>
      <c r="K198" s="76"/>
      <c r="L198" s="76"/>
      <c r="M198" s="77">
        <f>ROUND(1*2.11*2592/1000,3)</f>
        <v>5.4690000000000003</v>
      </c>
      <c r="N198" s="78"/>
      <c r="O198" s="78"/>
      <c r="P198" s="78"/>
      <c r="Q198" s="73"/>
    </row>
    <row r="199" spans="1:17" s="18" customFormat="1" ht="29.25" customHeight="1" x14ac:dyDescent="0.25">
      <c r="A199" s="64">
        <v>11</v>
      </c>
      <c r="B199" s="64" t="s">
        <v>15</v>
      </c>
      <c r="C199" s="66"/>
      <c r="D199" s="66"/>
      <c r="E199" s="66"/>
      <c r="F199" s="66"/>
      <c r="G199" s="66"/>
      <c r="H199" s="67" t="s">
        <v>192</v>
      </c>
      <c r="I199" s="68"/>
      <c r="J199" s="67" t="s">
        <v>194</v>
      </c>
      <c r="K199" s="71"/>
      <c r="L199" s="71"/>
      <c r="M199" s="71"/>
      <c r="N199" s="71"/>
      <c r="O199" s="71"/>
      <c r="P199" s="71"/>
      <c r="Q199" s="72">
        <f>ROUND(M200*J200,3)</f>
        <v>29.94</v>
      </c>
    </row>
    <row r="200" spans="1:17" s="18" customFormat="1" ht="123" customHeight="1" x14ac:dyDescent="0.25">
      <c r="A200" s="65"/>
      <c r="B200" s="65" t="s">
        <v>193</v>
      </c>
      <c r="C200" s="74"/>
      <c r="D200" s="74"/>
      <c r="E200" s="74"/>
      <c r="F200" s="74"/>
      <c r="G200" s="74"/>
      <c r="H200" s="69"/>
      <c r="I200" s="70"/>
      <c r="J200" s="75">
        <v>12</v>
      </c>
      <c r="K200" s="76"/>
      <c r="L200" s="76"/>
      <c r="M200" s="77">
        <f>ROUND(1*0.77*1.25*2592/1000,3)</f>
        <v>2.4950000000000001</v>
      </c>
      <c r="N200" s="78"/>
      <c r="O200" s="78"/>
      <c r="P200" s="78"/>
      <c r="Q200" s="73"/>
    </row>
    <row r="201" spans="1:17" s="18" customFormat="1" ht="29.25" customHeight="1" x14ac:dyDescent="0.25">
      <c r="A201" s="64">
        <v>12</v>
      </c>
      <c r="B201" s="64" t="s">
        <v>15</v>
      </c>
      <c r="C201" s="66"/>
      <c r="D201" s="66"/>
      <c r="E201" s="66"/>
      <c r="F201" s="66"/>
      <c r="G201" s="66"/>
      <c r="H201" s="67" t="s">
        <v>195</v>
      </c>
      <c r="I201" s="68"/>
      <c r="J201" s="67" t="s">
        <v>197</v>
      </c>
      <c r="K201" s="71"/>
      <c r="L201" s="71"/>
      <c r="M201" s="71"/>
      <c r="N201" s="71"/>
      <c r="O201" s="71"/>
      <c r="P201" s="71"/>
      <c r="Q201" s="72">
        <f>ROUND(M202*J202,3)</f>
        <v>11.92</v>
      </c>
    </row>
    <row r="202" spans="1:17" s="18" customFormat="1" ht="105.75" customHeight="1" x14ac:dyDescent="0.25">
      <c r="A202" s="65"/>
      <c r="B202" s="65" t="s">
        <v>196</v>
      </c>
      <c r="C202" s="74"/>
      <c r="D202" s="74"/>
      <c r="E202" s="74"/>
      <c r="F202" s="74"/>
      <c r="G202" s="74"/>
      <c r="H202" s="69"/>
      <c r="I202" s="70"/>
      <c r="J202" s="75">
        <v>8</v>
      </c>
      <c r="K202" s="76"/>
      <c r="L202" s="76"/>
      <c r="M202" s="77">
        <f>ROUND(1*0.46*1.25*2592/1000,3)</f>
        <v>1.49</v>
      </c>
      <c r="N202" s="78"/>
      <c r="O202" s="78"/>
      <c r="P202" s="78"/>
      <c r="Q202" s="73"/>
    </row>
    <row r="203" spans="1:17" s="18" customFormat="1" ht="29.25" customHeight="1" x14ac:dyDescent="0.25">
      <c r="A203" s="64">
        <v>13</v>
      </c>
      <c r="B203" s="64" t="s">
        <v>15</v>
      </c>
      <c r="C203" s="66"/>
      <c r="D203" s="66"/>
      <c r="E203" s="66"/>
      <c r="F203" s="66"/>
      <c r="G203" s="66"/>
      <c r="H203" s="67" t="s">
        <v>202</v>
      </c>
      <c r="I203" s="68"/>
      <c r="J203" s="67" t="s">
        <v>197</v>
      </c>
      <c r="K203" s="71"/>
      <c r="L203" s="71"/>
      <c r="M203" s="71"/>
      <c r="N203" s="71"/>
      <c r="O203" s="71"/>
      <c r="P203" s="71"/>
      <c r="Q203" s="72">
        <f>ROUND(M204*J204,3)</f>
        <v>11.92</v>
      </c>
    </row>
    <row r="204" spans="1:17" s="18" customFormat="1" ht="90" customHeight="1" x14ac:dyDescent="0.25">
      <c r="A204" s="65"/>
      <c r="B204" s="65" t="s">
        <v>198</v>
      </c>
      <c r="C204" s="74"/>
      <c r="D204" s="74"/>
      <c r="E204" s="74"/>
      <c r="F204" s="74"/>
      <c r="G204" s="74"/>
      <c r="H204" s="69"/>
      <c r="I204" s="70"/>
      <c r="J204" s="75">
        <v>8</v>
      </c>
      <c r="K204" s="76"/>
      <c r="L204" s="76"/>
      <c r="M204" s="77">
        <f>ROUND(1*0.46*1.25*2592/1000,3)</f>
        <v>1.49</v>
      </c>
      <c r="N204" s="78"/>
      <c r="O204" s="78"/>
      <c r="P204" s="78"/>
      <c r="Q204" s="73"/>
    </row>
    <row r="205" spans="1:17" s="18" customFormat="1" ht="18.75" customHeight="1" x14ac:dyDescent="0.25">
      <c r="A205" s="64">
        <v>14</v>
      </c>
      <c r="B205" s="64" t="s">
        <v>15</v>
      </c>
      <c r="C205" s="66"/>
      <c r="D205" s="66"/>
      <c r="E205" s="66"/>
      <c r="F205" s="66"/>
      <c r="G205" s="66"/>
      <c r="H205" s="67" t="s">
        <v>201</v>
      </c>
      <c r="I205" s="68"/>
      <c r="J205" s="67" t="s">
        <v>200</v>
      </c>
      <c r="K205" s="71"/>
      <c r="L205" s="71"/>
      <c r="M205" s="71"/>
      <c r="N205" s="71"/>
      <c r="O205" s="71"/>
      <c r="P205" s="71"/>
      <c r="Q205" s="72">
        <f>ROUND(M206*J206,3)</f>
        <v>5.6</v>
      </c>
    </row>
    <row r="206" spans="1:17" s="18" customFormat="1" ht="94.5" customHeight="1" x14ac:dyDescent="0.25">
      <c r="A206" s="65"/>
      <c r="B206" s="65" t="s">
        <v>199</v>
      </c>
      <c r="C206" s="74"/>
      <c r="D206" s="74"/>
      <c r="E206" s="74"/>
      <c r="F206" s="74"/>
      <c r="G206" s="74"/>
      <c r="H206" s="69"/>
      <c r="I206" s="70"/>
      <c r="J206" s="75">
        <v>8</v>
      </c>
      <c r="K206" s="76"/>
      <c r="L206" s="76"/>
      <c r="M206" s="77">
        <f>ROUND(1*0.18*1.5*2592/1000,3)</f>
        <v>0.7</v>
      </c>
      <c r="N206" s="78"/>
      <c r="O206" s="78"/>
      <c r="P206" s="78"/>
      <c r="Q206" s="73"/>
    </row>
    <row r="207" spans="1:17" s="18" customFormat="1" ht="20.25" customHeight="1" x14ac:dyDescent="0.25">
      <c r="A207" s="64">
        <v>15</v>
      </c>
      <c r="B207" s="64" t="s">
        <v>15</v>
      </c>
      <c r="C207" s="66"/>
      <c r="D207" s="66"/>
      <c r="E207" s="66"/>
      <c r="F207" s="66"/>
      <c r="G207" s="66"/>
      <c r="H207" s="67" t="s">
        <v>204</v>
      </c>
      <c r="I207" s="68"/>
      <c r="J207" s="67" t="s">
        <v>205</v>
      </c>
      <c r="K207" s="71"/>
      <c r="L207" s="71"/>
      <c r="M207" s="71"/>
      <c r="N207" s="71"/>
      <c r="O207" s="71"/>
      <c r="P207" s="71"/>
      <c r="Q207" s="72">
        <f>ROUND(M208*J208,3)</f>
        <v>65.231999999999999</v>
      </c>
    </row>
    <row r="208" spans="1:17" s="18" customFormat="1" ht="101.25" customHeight="1" x14ac:dyDescent="0.25">
      <c r="A208" s="65"/>
      <c r="B208" s="65" t="s">
        <v>203</v>
      </c>
      <c r="C208" s="74"/>
      <c r="D208" s="74"/>
      <c r="E208" s="74"/>
      <c r="F208" s="74"/>
      <c r="G208" s="74"/>
      <c r="H208" s="69"/>
      <c r="I208" s="70"/>
      <c r="J208" s="75">
        <v>8</v>
      </c>
      <c r="K208" s="76"/>
      <c r="L208" s="76"/>
      <c r="M208" s="77">
        <f>ROUND(1*2.42*1.3*2592/1000,3)</f>
        <v>8.1539999999999999</v>
      </c>
      <c r="N208" s="78"/>
      <c r="O208" s="78"/>
      <c r="P208" s="78"/>
      <c r="Q208" s="73"/>
    </row>
    <row r="209" spans="1:17" s="18" customFormat="1" ht="29.25" customHeight="1" x14ac:dyDescent="0.25">
      <c r="A209" s="64">
        <v>16</v>
      </c>
      <c r="B209" s="64" t="s">
        <v>15</v>
      </c>
      <c r="C209" s="66"/>
      <c r="D209" s="66"/>
      <c r="E209" s="66"/>
      <c r="F209" s="66"/>
      <c r="G209" s="66"/>
      <c r="H209" s="67" t="s">
        <v>206</v>
      </c>
      <c r="I209" s="68"/>
      <c r="J209" s="67" t="s">
        <v>208</v>
      </c>
      <c r="K209" s="71"/>
      <c r="L209" s="71"/>
      <c r="M209" s="71"/>
      <c r="N209" s="71"/>
      <c r="O209" s="71"/>
      <c r="P209" s="71"/>
      <c r="Q209" s="72">
        <f>ROUND(M210*J210,3)</f>
        <v>25.192</v>
      </c>
    </row>
    <row r="210" spans="1:17" s="18" customFormat="1" ht="147.75" customHeight="1" x14ac:dyDescent="0.25">
      <c r="A210" s="65"/>
      <c r="B210" s="65" t="s">
        <v>207</v>
      </c>
      <c r="C210" s="74"/>
      <c r="D210" s="74"/>
      <c r="E210" s="74"/>
      <c r="F210" s="74"/>
      <c r="G210" s="74"/>
      <c r="H210" s="69"/>
      <c r="I210" s="70"/>
      <c r="J210" s="75">
        <v>8</v>
      </c>
      <c r="K210" s="76"/>
      <c r="L210" s="76"/>
      <c r="M210" s="77">
        <f>ROUND(1*0.81*1.5*2592/1000,3)</f>
        <v>3.149</v>
      </c>
      <c r="N210" s="78"/>
      <c r="O210" s="78"/>
      <c r="P210" s="78"/>
      <c r="Q210" s="73"/>
    </row>
    <row r="211" spans="1:17" s="18" customFormat="1" ht="29.25" customHeight="1" x14ac:dyDescent="0.25">
      <c r="A211" s="64">
        <v>17</v>
      </c>
      <c r="B211" s="64" t="s">
        <v>15</v>
      </c>
      <c r="C211" s="66"/>
      <c r="D211" s="66"/>
      <c r="E211" s="66"/>
      <c r="F211" s="66"/>
      <c r="G211" s="66"/>
      <c r="H211" s="67" t="s">
        <v>206</v>
      </c>
      <c r="I211" s="68"/>
      <c r="J211" s="67" t="s">
        <v>210</v>
      </c>
      <c r="K211" s="71"/>
      <c r="L211" s="71"/>
      <c r="M211" s="71"/>
      <c r="N211" s="71"/>
      <c r="O211" s="71"/>
      <c r="P211" s="71"/>
      <c r="Q211" s="72">
        <f>ROUND(M212*J212,3)</f>
        <v>23.015999999999998</v>
      </c>
    </row>
    <row r="212" spans="1:17" s="18" customFormat="1" ht="147.75" customHeight="1" x14ac:dyDescent="0.25">
      <c r="A212" s="65"/>
      <c r="B212" s="65" t="s">
        <v>209</v>
      </c>
      <c r="C212" s="74"/>
      <c r="D212" s="74"/>
      <c r="E212" s="74"/>
      <c r="F212" s="74"/>
      <c r="G212" s="74"/>
      <c r="H212" s="69"/>
      <c r="I212" s="70"/>
      <c r="J212" s="75">
        <v>8</v>
      </c>
      <c r="K212" s="76"/>
      <c r="L212" s="76"/>
      <c r="M212" s="77">
        <f>ROUND(1*0.74*1.5*2592/1000,3)</f>
        <v>2.8769999999999998</v>
      </c>
      <c r="N212" s="78"/>
      <c r="O212" s="78"/>
      <c r="P212" s="78"/>
      <c r="Q212" s="73"/>
    </row>
    <row r="213" spans="1:17" s="18" customFormat="1" ht="25.5" customHeight="1" x14ac:dyDescent="0.25">
      <c r="A213" s="64">
        <v>18</v>
      </c>
      <c r="B213" s="64" t="s">
        <v>15</v>
      </c>
      <c r="C213" s="66"/>
      <c r="D213" s="66"/>
      <c r="E213" s="66"/>
      <c r="F213" s="66"/>
      <c r="G213" s="66"/>
      <c r="H213" s="67" t="s">
        <v>165</v>
      </c>
      <c r="I213" s="68"/>
      <c r="J213" s="67" t="s">
        <v>215</v>
      </c>
      <c r="K213" s="71"/>
      <c r="L213" s="71"/>
      <c r="M213" s="71"/>
      <c r="N213" s="71"/>
      <c r="O213" s="71"/>
      <c r="P213" s="71"/>
      <c r="Q213" s="72">
        <f>ROUND(M214*J214,3)</f>
        <v>53.246000000000002</v>
      </c>
    </row>
    <row r="214" spans="1:17" s="18" customFormat="1" ht="109.5" customHeight="1" x14ac:dyDescent="0.25">
      <c r="A214" s="65"/>
      <c r="B214" s="65" t="s">
        <v>214</v>
      </c>
      <c r="C214" s="74"/>
      <c r="D214" s="74"/>
      <c r="E214" s="74"/>
      <c r="F214" s="74"/>
      <c r="G214" s="74"/>
      <c r="H214" s="69"/>
      <c r="I214" s="70"/>
      <c r="J214" s="75">
        <v>0.5</v>
      </c>
      <c r="K214" s="76"/>
      <c r="L214" s="76"/>
      <c r="M214" s="77">
        <f>ROUND(1*37.35*1.1*2592/1000,3)</f>
        <v>106.492</v>
      </c>
      <c r="N214" s="78"/>
      <c r="O214" s="78"/>
      <c r="P214" s="78"/>
      <c r="Q214" s="73"/>
    </row>
    <row r="215" spans="1:17" s="18" customFormat="1" ht="25.5" customHeight="1" x14ac:dyDescent="0.25">
      <c r="A215" s="64">
        <v>19</v>
      </c>
      <c r="B215" s="64" t="s">
        <v>15</v>
      </c>
      <c r="C215" s="66"/>
      <c r="D215" s="66"/>
      <c r="E215" s="66"/>
      <c r="F215" s="66"/>
      <c r="G215" s="66"/>
      <c r="H215" s="67" t="s">
        <v>272</v>
      </c>
      <c r="I215" s="68"/>
      <c r="J215" s="67" t="s">
        <v>273</v>
      </c>
      <c r="K215" s="71"/>
      <c r="L215" s="71"/>
      <c r="M215" s="71"/>
      <c r="N215" s="71"/>
      <c r="O215" s="71"/>
      <c r="P215" s="71"/>
      <c r="Q215" s="72">
        <f>ROUND(M216*J216,3)</f>
        <v>0</v>
      </c>
    </row>
    <row r="216" spans="1:17" s="18" customFormat="1" ht="108" customHeight="1" x14ac:dyDescent="0.25">
      <c r="A216" s="65"/>
      <c r="B216" s="65" t="s">
        <v>274</v>
      </c>
      <c r="C216" s="74"/>
      <c r="D216" s="74"/>
      <c r="E216" s="74"/>
      <c r="F216" s="74"/>
      <c r="G216" s="74"/>
      <c r="H216" s="69"/>
      <c r="I216" s="70"/>
      <c r="J216" s="75">
        <v>0</v>
      </c>
      <c r="K216" s="76"/>
      <c r="L216" s="76"/>
      <c r="M216" s="77">
        <f>ROUND(1*2.4*540/1000,3)</f>
        <v>1.296</v>
      </c>
      <c r="N216" s="78"/>
      <c r="O216" s="78"/>
      <c r="P216" s="78"/>
      <c r="Q216" s="73"/>
    </row>
    <row r="217" spans="1:17" s="28" customFormat="1" ht="19.350000000000001" customHeight="1" x14ac:dyDescent="0.25">
      <c r="A217" s="43" t="s">
        <v>211</v>
      </c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5"/>
      <c r="Q217" s="27">
        <f>SUM(Q175:Q216)</f>
        <v>1418.4740000000002</v>
      </c>
    </row>
    <row r="218" spans="1:17" s="21" customFormat="1" ht="21.75" customHeight="1" x14ac:dyDescent="0.25">
      <c r="A218" s="61" t="s">
        <v>212</v>
      </c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3"/>
    </row>
    <row r="219" spans="1:17" s="18" customFormat="1" ht="25.5" customHeight="1" x14ac:dyDescent="0.25">
      <c r="A219" s="64">
        <v>1</v>
      </c>
      <c r="B219" s="64" t="s">
        <v>15</v>
      </c>
      <c r="C219" s="66"/>
      <c r="D219" s="66"/>
      <c r="E219" s="66"/>
      <c r="F219" s="66"/>
      <c r="G219" s="66"/>
      <c r="H219" s="67" t="s">
        <v>213</v>
      </c>
      <c r="I219" s="68"/>
      <c r="J219" s="67" t="s">
        <v>216</v>
      </c>
      <c r="K219" s="71"/>
      <c r="L219" s="71"/>
      <c r="M219" s="71"/>
      <c r="N219" s="71"/>
      <c r="O219" s="71"/>
      <c r="P219" s="71"/>
      <c r="Q219" s="72">
        <f>ROUND(M220*J220,3)</f>
        <v>24.155999999999999</v>
      </c>
    </row>
    <row r="220" spans="1:17" s="18" customFormat="1" ht="148.5" customHeight="1" x14ac:dyDescent="0.25">
      <c r="A220" s="65"/>
      <c r="B220" s="65" t="s">
        <v>217</v>
      </c>
      <c r="C220" s="74"/>
      <c r="D220" s="74"/>
      <c r="E220" s="74"/>
      <c r="F220" s="74"/>
      <c r="G220" s="74"/>
      <c r="H220" s="69"/>
      <c r="I220" s="70"/>
      <c r="J220" s="75">
        <v>4</v>
      </c>
      <c r="K220" s="76"/>
      <c r="L220" s="76"/>
      <c r="M220" s="77">
        <f>ROUND(1*2.33*2592/1000,3)</f>
        <v>6.0389999999999997</v>
      </c>
      <c r="N220" s="78"/>
      <c r="O220" s="78"/>
      <c r="P220" s="78"/>
      <c r="Q220" s="73"/>
    </row>
    <row r="221" spans="1:17" s="18" customFormat="1" ht="25.5" customHeight="1" x14ac:dyDescent="0.25">
      <c r="A221" s="64">
        <v>2</v>
      </c>
      <c r="B221" s="64" t="s">
        <v>15</v>
      </c>
      <c r="C221" s="66"/>
      <c r="D221" s="66"/>
      <c r="E221" s="66"/>
      <c r="F221" s="66"/>
      <c r="G221" s="66"/>
      <c r="H221" s="67" t="s">
        <v>220</v>
      </c>
      <c r="I221" s="68"/>
      <c r="J221" s="67" t="s">
        <v>219</v>
      </c>
      <c r="K221" s="71"/>
      <c r="L221" s="71"/>
      <c r="M221" s="71"/>
      <c r="N221" s="71"/>
      <c r="O221" s="71"/>
      <c r="P221" s="71"/>
      <c r="Q221" s="72">
        <f>ROUND(M222*J222,3)</f>
        <v>5.2880000000000003</v>
      </c>
    </row>
    <row r="222" spans="1:17" s="18" customFormat="1" ht="159.75" customHeight="1" x14ac:dyDescent="0.25">
      <c r="A222" s="65"/>
      <c r="B222" s="65" t="s">
        <v>218</v>
      </c>
      <c r="C222" s="74"/>
      <c r="D222" s="74"/>
      <c r="E222" s="74"/>
      <c r="F222" s="74"/>
      <c r="G222" s="74"/>
      <c r="H222" s="69"/>
      <c r="I222" s="70"/>
      <c r="J222" s="75">
        <v>4</v>
      </c>
      <c r="K222" s="76"/>
      <c r="L222" s="76"/>
      <c r="M222" s="77">
        <f>ROUND(1*0.51*2592/1000,3)</f>
        <v>1.3220000000000001</v>
      </c>
      <c r="N222" s="78"/>
      <c r="O222" s="78"/>
      <c r="P222" s="78"/>
      <c r="Q222" s="73"/>
    </row>
    <row r="223" spans="1:17" s="18" customFormat="1" ht="25.5" customHeight="1" x14ac:dyDescent="0.25">
      <c r="A223" s="64">
        <v>3</v>
      </c>
      <c r="B223" s="64" t="s">
        <v>15</v>
      </c>
      <c r="C223" s="66"/>
      <c r="D223" s="66"/>
      <c r="E223" s="66"/>
      <c r="F223" s="66"/>
      <c r="G223" s="66"/>
      <c r="H223" s="67" t="s">
        <v>221</v>
      </c>
      <c r="I223" s="68"/>
      <c r="J223" s="67" t="s">
        <v>223</v>
      </c>
      <c r="K223" s="71"/>
      <c r="L223" s="71"/>
      <c r="M223" s="71"/>
      <c r="N223" s="71"/>
      <c r="O223" s="71"/>
      <c r="P223" s="71"/>
      <c r="Q223" s="72">
        <f>ROUND(M224*J224,3)</f>
        <v>4.51</v>
      </c>
    </row>
    <row r="224" spans="1:17" s="18" customFormat="1" ht="93.75" customHeight="1" x14ac:dyDescent="0.25">
      <c r="A224" s="65"/>
      <c r="B224" s="65" t="s">
        <v>222</v>
      </c>
      <c r="C224" s="74"/>
      <c r="D224" s="74"/>
      <c r="E224" s="74"/>
      <c r="F224" s="74"/>
      <c r="G224" s="74"/>
      <c r="H224" s="69"/>
      <c r="I224" s="70"/>
      <c r="J224" s="75">
        <v>1</v>
      </c>
      <c r="K224" s="76"/>
      <c r="L224" s="76"/>
      <c r="M224" s="77">
        <f>ROUND(1*1.74*2592/1000,3)</f>
        <v>4.51</v>
      </c>
      <c r="N224" s="78"/>
      <c r="O224" s="78"/>
      <c r="P224" s="78"/>
      <c r="Q224" s="73"/>
    </row>
    <row r="225" spans="1:17" s="18" customFormat="1" ht="25.5" customHeight="1" x14ac:dyDescent="0.25">
      <c r="A225" s="64">
        <v>4</v>
      </c>
      <c r="B225" s="64" t="s">
        <v>15</v>
      </c>
      <c r="C225" s="66"/>
      <c r="D225" s="66"/>
      <c r="E225" s="66"/>
      <c r="F225" s="66"/>
      <c r="G225" s="66"/>
      <c r="H225" s="67" t="s">
        <v>225</v>
      </c>
      <c r="I225" s="68"/>
      <c r="J225" s="67" t="s">
        <v>226</v>
      </c>
      <c r="K225" s="71"/>
      <c r="L225" s="71"/>
      <c r="M225" s="71"/>
      <c r="N225" s="71"/>
      <c r="O225" s="71"/>
      <c r="P225" s="71"/>
      <c r="Q225" s="72">
        <f>ROUND(M226*J226,3)</f>
        <v>42.225000000000001</v>
      </c>
    </row>
    <row r="226" spans="1:17" s="18" customFormat="1" ht="87.75" customHeight="1" x14ac:dyDescent="0.25">
      <c r="A226" s="65"/>
      <c r="B226" s="65" t="s">
        <v>224</v>
      </c>
      <c r="C226" s="74"/>
      <c r="D226" s="74"/>
      <c r="E226" s="74"/>
      <c r="F226" s="74"/>
      <c r="G226" s="74"/>
      <c r="H226" s="69"/>
      <c r="I226" s="70"/>
      <c r="J226" s="75">
        <v>3</v>
      </c>
      <c r="K226" s="76"/>
      <c r="L226" s="76"/>
      <c r="M226" s="77">
        <f>ROUND(1*5.43*2592/1000,3)</f>
        <v>14.074999999999999</v>
      </c>
      <c r="N226" s="78"/>
      <c r="O226" s="78"/>
      <c r="P226" s="78"/>
      <c r="Q226" s="73"/>
    </row>
    <row r="227" spans="1:17" s="18" customFormat="1" ht="25.5" customHeight="1" x14ac:dyDescent="0.25">
      <c r="A227" s="64">
        <v>5</v>
      </c>
      <c r="B227" s="64" t="s">
        <v>15</v>
      </c>
      <c r="C227" s="66"/>
      <c r="D227" s="66"/>
      <c r="E227" s="66"/>
      <c r="F227" s="66"/>
      <c r="G227" s="66"/>
      <c r="H227" s="67" t="s">
        <v>227</v>
      </c>
      <c r="I227" s="68"/>
      <c r="J227" s="67" t="s">
        <v>228</v>
      </c>
      <c r="K227" s="71"/>
      <c r="L227" s="71"/>
      <c r="M227" s="71"/>
      <c r="N227" s="71"/>
      <c r="O227" s="71"/>
      <c r="P227" s="71"/>
      <c r="Q227" s="72">
        <f>ROUND(M228*J228,3)</f>
        <v>27.372</v>
      </c>
    </row>
    <row r="228" spans="1:17" s="18" customFormat="1" ht="107.25" customHeight="1" x14ac:dyDescent="0.25">
      <c r="A228" s="65"/>
      <c r="B228" s="65" t="s">
        <v>229</v>
      </c>
      <c r="C228" s="74"/>
      <c r="D228" s="74"/>
      <c r="E228" s="74"/>
      <c r="F228" s="74"/>
      <c r="G228" s="74"/>
      <c r="H228" s="69"/>
      <c r="I228" s="70"/>
      <c r="J228" s="75">
        <v>6</v>
      </c>
      <c r="K228" s="76"/>
      <c r="L228" s="76"/>
      <c r="M228" s="77">
        <f>ROUND(1*1.76*2592/1000,3)</f>
        <v>4.5620000000000003</v>
      </c>
      <c r="N228" s="78"/>
      <c r="O228" s="78"/>
      <c r="P228" s="78"/>
      <c r="Q228" s="73"/>
    </row>
    <row r="229" spans="1:17" s="18" customFormat="1" ht="25.5" customHeight="1" x14ac:dyDescent="0.25">
      <c r="A229" s="64">
        <v>6</v>
      </c>
      <c r="B229" s="64" t="s">
        <v>15</v>
      </c>
      <c r="C229" s="66"/>
      <c r="D229" s="66"/>
      <c r="E229" s="66"/>
      <c r="F229" s="66"/>
      <c r="G229" s="66"/>
      <c r="H229" s="67" t="s">
        <v>227</v>
      </c>
      <c r="I229" s="68"/>
      <c r="J229" s="67" t="s">
        <v>228</v>
      </c>
      <c r="K229" s="71"/>
      <c r="L229" s="71"/>
      <c r="M229" s="71"/>
      <c r="N229" s="71"/>
      <c r="O229" s="71"/>
      <c r="P229" s="71"/>
      <c r="Q229" s="72">
        <f>ROUND(M230*J230,3)</f>
        <v>27.372</v>
      </c>
    </row>
    <row r="230" spans="1:17" s="18" customFormat="1" ht="108.75" customHeight="1" x14ac:dyDescent="0.25">
      <c r="A230" s="65"/>
      <c r="B230" s="65" t="s">
        <v>229</v>
      </c>
      <c r="C230" s="74"/>
      <c r="D230" s="74"/>
      <c r="E230" s="74"/>
      <c r="F230" s="74"/>
      <c r="G230" s="74"/>
      <c r="H230" s="69"/>
      <c r="I230" s="70"/>
      <c r="J230" s="75">
        <v>6</v>
      </c>
      <c r="K230" s="76"/>
      <c r="L230" s="76"/>
      <c r="M230" s="77">
        <f>ROUND(1*1.76*2592/1000,3)</f>
        <v>4.5620000000000003</v>
      </c>
      <c r="N230" s="78"/>
      <c r="O230" s="78"/>
      <c r="P230" s="78"/>
      <c r="Q230" s="73"/>
    </row>
    <row r="231" spans="1:17" s="18" customFormat="1" ht="25.5" customHeight="1" x14ac:dyDescent="0.25">
      <c r="A231" s="64">
        <v>7</v>
      </c>
      <c r="B231" s="64" t="s">
        <v>15</v>
      </c>
      <c r="C231" s="66"/>
      <c r="D231" s="66"/>
      <c r="E231" s="66"/>
      <c r="F231" s="66"/>
      <c r="G231" s="66"/>
      <c r="H231" s="67" t="s">
        <v>230</v>
      </c>
      <c r="I231" s="68"/>
      <c r="J231" s="67" t="s">
        <v>245</v>
      </c>
      <c r="K231" s="71"/>
      <c r="L231" s="71"/>
      <c r="M231" s="71"/>
      <c r="N231" s="71"/>
      <c r="O231" s="71"/>
      <c r="P231" s="71"/>
      <c r="Q231" s="72">
        <f>ROUND(M232*J232,3)</f>
        <v>35.134999999999998</v>
      </c>
    </row>
    <row r="232" spans="1:17" s="18" customFormat="1" ht="94.5" customHeight="1" x14ac:dyDescent="0.25">
      <c r="A232" s="65"/>
      <c r="B232" s="65" t="s">
        <v>246</v>
      </c>
      <c r="C232" s="74"/>
      <c r="D232" s="74"/>
      <c r="E232" s="74"/>
      <c r="F232" s="74"/>
      <c r="G232" s="74"/>
      <c r="H232" s="69"/>
      <c r="I232" s="70"/>
      <c r="J232" s="75">
        <v>0.5</v>
      </c>
      <c r="K232" s="76"/>
      <c r="L232" s="76"/>
      <c r="M232" s="77">
        <f>ROUND(1*27.11*2592/1000,3)</f>
        <v>70.269000000000005</v>
      </c>
      <c r="N232" s="78"/>
      <c r="O232" s="78"/>
      <c r="P232" s="78"/>
      <c r="Q232" s="73"/>
    </row>
    <row r="233" spans="1:17" s="18" customFormat="1" ht="25.5" customHeight="1" x14ac:dyDescent="0.25">
      <c r="A233" s="64">
        <v>8</v>
      </c>
      <c r="B233" s="64" t="s">
        <v>15</v>
      </c>
      <c r="C233" s="66"/>
      <c r="D233" s="66"/>
      <c r="E233" s="66"/>
      <c r="F233" s="66"/>
      <c r="G233" s="66"/>
      <c r="H233" s="67" t="s">
        <v>272</v>
      </c>
      <c r="I233" s="68"/>
      <c r="J233" s="67" t="s">
        <v>273</v>
      </c>
      <c r="K233" s="71"/>
      <c r="L233" s="71"/>
      <c r="M233" s="71"/>
      <c r="N233" s="71"/>
      <c r="O233" s="71"/>
      <c r="P233" s="71"/>
      <c r="Q233" s="72">
        <f>ROUND(M234*J234,3)</f>
        <v>0</v>
      </c>
    </row>
    <row r="234" spans="1:17" s="18" customFormat="1" ht="107.25" customHeight="1" x14ac:dyDescent="0.25">
      <c r="A234" s="65"/>
      <c r="B234" s="65" t="s">
        <v>274</v>
      </c>
      <c r="C234" s="74"/>
      <c r="D234" s="74"/>
      <c r="E234" s="74"/>
      <c r="F234" s="74"/>
      <c r="G234" s="74"/>
      <c r="H234" s="69"/>
      <c r="I234" s="70"/>
      <c r="J234" s="75">
        <v>0</v>
      </c>
      <c r="K234" s="76"/>
      <c r="L234" s="76"/>
      <c r="M234" s="77">
        <f>ROUND(1*2.4*540/1000,3)</f>
        <v>1.296</v>
      </c>
      <c r="N234" s="78"/>
      <c r="O234" s="78"/>
      <c r="P234" s="78"/>
      <c r="Q234" s="73"/>
    </row>
    <row r="235" spans="1:17" s="28" customFormat="1" ht="19.350000000000001" customHeight="1" x14ac:dyDescent="0.25">
      <c r="A235" s="43" t="s">
        <v>231</v>
      </c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5"/>
      <c r="Q235" s="27">
        <f>SUM(Q219:Q234)</f>
        <v>166.05799999999999</v>
      </c>
    </row>
    <row r="236" spans="1:17" s="21" customFormat="1" ht="21.75" customHeight="1" x14ac:dyDescent="0.25">
      <c r="A236" s="61" t="s">
        <v>232</v>
      </c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3"/>
    </row>
    <row r="237" spans="1:17" s="18" customFormat="1" ht="25.5" customHeight="1" x14ac:dyDescent="0.25">
      <c r="A237" s="64">
        <v>1</v>
      </c>
      <c r="B237" s="64" t="s">
        <v>15</v>
      </c>
      <c r="C237" s="66"/>
      <c r="D237" s="66"/>
      <c r="E237" s="66"/>
      <c r="F237" s="66"/>
      <c r="G237" s="66"/>
      <c r="H237" s="67" t="s">
        <v>233</v>
      </c>
      <c r="I237" s="68"/>
      <c r="J237" s="67" t="s">
        <v>235</v>
      </c>
      <c r="K237" s="71"/>
      <c r="L237" s="71"/>
      <c r="M237" s="71"/>
      <c r="N237" s="71"/>
      <c r="O237" s="71"/>
      <c r="P237" s="71"/>
      <c r="Q237" s="72">
        <f>ROUND(M238*J238,3)</f>
        <v>91.652000000000001</v>
      </c>
    </row>
    <row r="238" spans="1:17" s="18" customFormat="1" ht="58.5" customHeight="1" x14ac:dyDescent="0.25">
      <c r="A238" s="65"/>
      <c r="B238" s="65" t="s">
        <v>234</v>
      </c>
      <c r="C238" s="74"/>
      <c r="D238" s="74"/>
      <c r="E238" s="74"/>
      <c r="F238" s="74"/>
      <c r="G238" s="74"/>
      <c r="H238" s="69"/>
      <c r="I238" s="70"/>
      <c r="J238" s="75">
        <v>4</v>
      </c>
      <c r="K238" s="76"/>
      <c r="L238" s="76"/>
      <c r="M238" s="77">
        <f>ROUND(1*4.42*2*2592/1000,3)</f>
        <v>22.913</v>
      </c>
      <c r="N238" s="78"/>
      <c r="O238" s="78"/>
      <c r="P238" s="78"/>
      <c r="Q238" s="73"/>
    </row>
    <row r="239" spans="1:17" s="18" customFormat="1" ht="25.5" customHeight="1" x14ac:dyDescent="0.25">
      <c r="A239" s="64">
        <v>2</v>
      </c>
      <c r="B239" s="64" t="s">
        <v>15</v>
      </c>
      <c r="C239" s="66"/>
      <c r="D239" s="66"/>
      <c r="E239" s="66"/>
      <c r="F239" s="66"/>
      <c r="G239" s="66"/>
      <c r="H239" s="67" t="s">
        <v>242</v>
      </c>
      <c r="I239" s="68"/>
      <c r="J239" s="67" t="s">
        <v>244</v>
      </c>
      <c r="K239" s="71"/>
      <c r="L239" s="71"/>
      <c r="M239" s="71"/>
      <c r="N239" s="71"/>
      <c r="O239" s="71"/>
      <c r="P239" s="71"/>
      <c r="Q239" s="72">
        <f>ROUND(M240*J240,3)</f>
        <v>41.055999999999997</v>
      </c>
    </row>
    <row r="240" spans="1:17" s="18" customFormat="1" ht="54.75" customHeight="1" x14ac:dyDescent="0.25">
      <c r="A240" s="65"/>
      <c r="B240" s="65" t="s">
        <v>243</v>
      </c>
      <c r="C240" s="74"/>
      <c r="D240" s="74"/>
      <c r="E240" s="74"/>
      <c r="F240" s="74"/>
      <c r="G240" s="74"/>
      <c r="H240" s="69"/>
      <c r="I240" s="70"/>
      <c r="J240" s="75">
        <v>4</v>
      </c>
      <c r="K240" s="76"/>
      <c r="L240" s="76"/>
      <c r="M240" s="77">
        <f>ROUND(1*1.98*2*2592/1000,3)</f>
        <v>10.263999999999999</v>
      </c>
      <c r="N240" s="78"/>
      <c r="O240" s="78"/>
      <c r="P240" s="78"/>
      <c r="Q240" s="73"/>
    </row>
    <row r="241" spans="1:17" s="18" customFormat="1" ht="25.5" customHeight="1" x14ac:dyDescent="0.25">
      <c r="A241" s="64">
        <v>3</v>
      </c>
      <c r="B241" s="64" t="s">
        <v>15</v>
      </c>
      <c r="C241" s="66"/>
      <c r="D241" s="66"/>
      <c r="E241" s="66"/>
      <c r="F241" s="66"/>
      <c r="G241" s="66"/>
      <c r="H241" s="67" t="s">
        <v>238</v>
      </c>
      <c r="I241" s="68"/>
      <c r="J241" s="67" t="s">
        <v>237</v>
      </c>
      <c r="K241" s="71"/>
      <c r="L241" s="71"/>
      <c r="M241" s="71"/>
      <c r="N241" s="71"/>
      <c r="O241" s="71"/>
      <c r="P241" s="71"/>
      <c r="Q241" s="72">
        <f>ROUND(M242*J242,3)</f>
        <v>58.268000000000001</v>
      </c>
    </row>
    <row r="242" spans="1:17" s="18" customFormat="1" ht="68.25" customHeight="1" x14ac:dyDescent="0.25">
      <c r="A242" s="65"/>
      <c r="B242" s="65" t="s">
        <v>236</v>
      </c>
      <c r="C242" s="74"/>
      <c r="D242" s="74"/>
      <c r="E242" s="74"/>
      <c r="F242" s="74"/>
      <c r="G242" s="74"/>
      <c r="H242" s="69"/>
      <c r="I242" s="70"/>
      <c r="J242" s="75">
        <v>4</v>
      </c>
      <c r="K242" s="76"/>
      <c r="L242" s="76"/>
      <c r="M242" s="77">
        <f>ROUND(1*2.81*2*2592/1000,3)</f>
        <v>14.567</v>
      </c>
      <c r="N242" s="78"/>
      <c r="O242" s="78"/>
      <c r="P242" s="78"/>
      <c r="Q242" s="73"/>
    </row>
    <row r="243" spans="1:17" s="18" customFormat="1" ht="25.5" customHeight="1" x14ac:dyDescent="0.25">
      <c r="A243" s="64">
        <v>4</v>
      </c>
      <c r="B243" s="64" t="s">
        <v>15</v>
      </c>
      <c r="C243" s="66"/>
      <c r="D243" s="66"/>
      <c r="E243" s="66"/>
      <c r="F243" s="66"/>
      <c r="G243" s="66"/>
      <c r="H243" s="67" t="s">
        <v>239</v>
      </c>
      <c r="I243" s="68"/>
      <c r="J243" s="67" t="s">
        <v>241</v>
      </c>
      <c r="K243" s="71"/>
      <c r="L243" s="71"/>
      <c r="M243" s="71"/>
      <c r="N243" s="71"/>
      <c r="O243" s="71"/>
      <c r="P243" s="71"/>
      <c r="Q243" s="72">
        <f>ROUND(M244*J244,3)</f>
        <v>53.292000000000002</v>
      </c>
    </row>
    <row r="244" spans="1:17" s="18" customFormat="1" ht="69" customHeight="1" x14ac:dyDescent="0.25">
      <c r="A244" s="65"/>
      <c r="B244" s="65" t="s">
        <v>240</v>
      </c>
      <c r="C244" s="74"/>
      <c r="D244" s="74"/>
      <c r="E244" s="74"/>
      <c r="F244" s="74"/>
      <c r="G244" s="74"/>
      <c r="H244" s="69"/>
      <c r="I244" s="70"/>
      <c r="J244" s="75">
        <v>4</v>
      </c>
      <c r="K244" s="76"/>
      <c r="L244" s="76"/>
      <c r="M244" s="77">
        <f>ROUND(1*2.57*2*2592/1000,3)</f>
        <v>13.323</v>
      </c>
      <c r="N244" s="78"/>
      <c r="O244" s="78"/>
      <c r="P244" s="78"/>
      <c r="Q244" s="73"/>
    </row>
    <row r="245" spans="1:17" s="18" customFormat="1" ht="25.5" customHeight="1" x14ac:dyDescent="0.25">
      <c r="A245" s="64">
        <v>5</v>
      </c>
      <c r="B245" s="64" t="s">
        <v>15</v>
      </c>
      <c r="C245" s="66"/>
      <c r="D245" s="66"/>
      <c r="E245" s="66"/>
      <c r="F245" s="66"/>
      <c r="G245" s="66"/>
      <c r="H245" s="67" t="s">
        <v>230</v>
      </c>
      <c r="I245" s="68"/>
      <c r="J245" s="67" t="s">
        <v>245</v>
      </c>
      <c r="K245" s="71"/>
      <c r="L245" s="71"/>
      <c r="M245" s="71"/>
      <c r="N245" s="71"/>
      <c r="O245" s="71"/>
      <c r="P245" s="71"/>
      <c r="Q245" s="72">
        <f>ROUND(M246*J246,3)</f>
        <v>35.134999999999998</v>
      </c>
    </row>
    <row r="246" spans="1:17" s="18" customFormat="1" ht="93.75" customHeight="1" x14ac:dyDescent="0.25">
      <c r="A246" s="65"/>
      <c r="B246" s="65" t="s">
        <v>247</v>
      </c>
      <c r="C246" s="74"/>
      <c r="D246" s="74"/>
      <c r="E246" s="74"/>
      <c r="F246" s="74"/>
      <c r="G246" s="74"/>
      <c r="H246" s="69"/>
      <c r="I246" s="70"/>
      <c r="J246" s="75">
        <v>0.5</v>
      </c>
      <c r="K246" s="76"/>
      <c r="L246" s="76"/>
      <c r="M246" s="77">
        <f>ROUND(1*27.11*2592/1000,3)</f>
        <v>70.269000000000005</v>
      </c>
      <c r="N246" s="78"/>
      <c r="O246" s="78"/>
      <c r="P246" s="78"/>
      <c r="Q246" s="73"/>
    </row>
    <row r="247" spans="1:17" s="18" customFormat="1" ht="25.5" customHeight="1" x14ac:dyDescent="0.25">
      <c r="A247" s="64">
        <v>6</v>
      </c>
      <c r="B247" s="64" t="s">
        <v>15</v>
      </c>
      <c r="C247" s="66"/>
      <c r="D247" s="66"/>
      <c r="E247" s="66"/>
      <c r="F247" s="66"/>
      <c r="G247" s="66"/>
      <c r="H247" s="67" t="s">
        <v>248</v>
      </c>
      <c r="I247" s="68"/>
      <c r="J247" s="67" t="s">
        <v>250</v>
      </c>
      <c r="K247" s="71"/>
      <c r="L247" s="71"/>
      <c r="M247" s="71"/>
      <c r="N247" s="71"/>
      <c r="O247" s="71"/>
      <c r="P247" s="71"/>
      <c r="Q247" s="72">
        <f>ROUND(M248*J248,3)</f>
        <v>34.835999999999999</v>
      </c>
    </row>
    <row r="248" spans="1:17" s="18" customFormat="1" ht="66.75" customHeight="1" x14ac:dyDescent="0.25">
      <c r="A248" s="65"/>
      <c r="B248" s="65" t="s">
        <v>249</v>
      </c>
      <c r="C248" s="74"/>
      <c r="D248" s="74"/>
      <c r="E248" s="74"/>
      <c r="F248" s="74"/>
      <c r="G248" s="74"/>
      <c r="H248" s="69"/>
      <c r="I248" s="70"/>
      <c r="J248" s="75">
        <v>4</v>
      </c>
      <c r="K248" s="76"/>
      <c r="L248" s="76"/>
      <c r="M248" s="77">
        <f>ROUND(1*1.68*2*2592/1000,3)</f>
        <v>8.7089999999999996</v>
      </c>
      <c r="N248" s="78"/>
      <c r="O248" s="78"/>
      <c r="P248" s="78"/>
      <c r="Q248" s="73"/>
    </row>
    <row r="249" spans="1:17" s="18" customFormat="1" ht="25.5" customHeight="1" x14ac:dyDescent="0.25">
      <c r="A249" s="64">
        <v>7</v>
      </c>
      <c r="B249" s="64" t="s">
        <v>15</v>
      </c>
      <c r="C249" s="66"/>
      <c r="D249" s="66"/>
      <c r="E249" s="66"/>
      <c r="F249" s="66"/>
      <c r="G249" s="66"/>
      <c r="H249" s="67" t="s">
        <v>251</v>
      </c>
      <c r="I249" s="68"/>
      <c r="J249" s="67" t="s">
        <v>253</v>
      </c>
      <c r="K249" s="71"/>
      <c r="L249" s="71"/>
      <c r="M249" s="71"/>
      <c r="N249" s="71"/>
      <c r="O249" s="71"/>
      <c r="P249" s="71"/>
      <c r="Q249" s="72">
        <f>ROUND(M250*J250,3)</f>
        <v>30.896000000000001</v>
      </c>
    </row>
    <row r="250" spans="1:17" s="18" customFormat="1" ht="84.75" customHeight="1" x14ac:dyDescent="0.25">
      <c r="A250" s="65"/>
      <c r="B250" s="65" t="s">
        <v>252</v>
      </c>
      <c r="C250" s="74"/>
      <c r="D250" s="74"/>
      <c r="E250" s="74"/>
      <c r="F250" s="74"/>
      <c r="G250" s="74"/>
      <c r="H250" s="69"/>
      <c r="I250" s="70"/>
      <c r="J250" s="75">
        <v>4</v>
      </c>
      <c r="K250" s="76"/>
      <c r="L250" s="76"/>
      <c r="M250" s="77">
        <f>ROUND(1*1.49*2*2592/1000,3)</f>
        <v>7.7240000000000002</v>
      </c>
      <c r="N250" s="78"/>
      <c r="O250" s="78"/>
      <c r="P250" s="78"/>
      <c r="Q250" s="73"/>
    </row>
    <row r="251" spans="1:17" s="18" customFormat="1" ht="25.5" customHeight="1" x14ac:dyDescent="0.25">
      <c r="A251" s="64">
        <v>8</v>
      </c>
      <c r="B251" s="64" t="s">
        <v>15</v>
      </c>
      <c r="C251" s="66"/>
      <c r="D251" s="66"/>
      <c r="E251" s="66"/>
      <c r="F251" s="66"/>
      <c r="G251" s="66"/>
      <c r="H251" s="67" t="s">
        <v>254</v>
      </c>
      <c r="I251" s="68"/>
      <c r="J251" s="67" t="s">
        <v>256</v>
      </c>
      <c r="K251" s="71"/>
      <c r="L251" s="71"/>
      <c r="M251" s="71"/>
      <c r="N251" s="71"/>
      <c r="O251" s="71"/>
      <c r="P251" s="71"/>
      <c r="Q251" s="72">
        <f>ROUND(M252*J252,3)</f>
        <v>32.764000000000003</v>
      </c>
    </row>
    <row r="252" spans="1:17" s="18" customFormat="1" ht="81.75" customHeight="1" x14ac:dyDescent="0.25">
      <c r="A252" s="65"/>
      <c r="B252" s="65" t="s">
        <v>255</v>
      </c>
      <c r="C252" s="74"/>
      <c r="D252" s="74"/>
      <c r="E252" s="74"/>
      <c r="F252" s="74"/>
      <c r="G252" s="74"/>
      <c r="H252" s="69"/>
      <c r="I252" s="70"/>
      <c r="J252" s="75">
        <v>4</v>
      </c>
      <c r="K252" s="76"/>
      <c r="L252" s="76"/>
      <c r="M252" s="77">
        <f>ROUND(1*1.58*2*2592/1000,3)</f>
        <v>8.1910000000000007</v>
      </c>
      <c r="N252" s="78"/>
      <c r="O252" s="78"/>
      <c r="P252" s="78"/>
      <c r="Q252" s="73"/>
    </row>
    <row r="253" spans="1:17" s="18" customFormat="1" ht="25.5" customHeight="1" x14ac:dyDescent="0.25">
      <c r="A253" s="64">
        <v>9</v>
      </c>
      <c r="B253" s="64" t="s">
        <v>15</v>
      </c>
      <c r="C253" s="66"/>
      <c r="D253" s="66"/>
      <c r="E253" s="66"/>
      <c r="F253" s="66"/>
      <c r="G253" s="66"/>
      <c r="H253" s="67" t="s">
        <v>230</v>
      </c>
      <c r="I253" s="68"/>
      <c r="J253" s="67" t="s">
        <v>245</v>
      </c>
      <c r="K253" s="71"/>
      <c r="L253" s="71"/>
      <c r="M253" s="71"/>
      <c r="N253" s="71"/>
      <c r="O253" s="71"/>
      <c r="P253" s="71"/>
      <c r="Q253" s="72">
        <f>ROUND(M254*J254,3)</f>
        <v>35.134999999999998</v>
      </c>
    </row>
    <row r="254" spans="1:17" s="18" customFormat="1" ht="96" customHeight="1" x14ac:dyDescent="0.25">
      <c r="A254" s="65"/>
      <c r="B254" s="65" t="s">
        <v>257</v>
      </c>
      <c r="C254" s="74"/>
      <c r="D254" s="74"/>
      <c r="E254" s="74"/>
      <c r="F254" s="74"/>
      <c r="G254" s="74"/>
      <c r="H254" s="69"/>
      <c r="I254" s="70"/>
      <c r="J254" s="75">
        <v>0.5</v>
      </c>
      <c r="K254" s="76"/>
      <c r="L254" s="76"/>
      <c r="M254" s="77">
        <f>ROUND(1*27.11*2592/1000,3)</f>
        <v>70.269000000000005</v>
      </c>
      <c r="N254" s="78"/>
      <c r="O254" s="78"/>
      <c r="P254" s="78"/>
      <c r="Q254" s="73"/>
    </row>
    <row r="255" spans="1:17" s="18" customFormat="1" ht="25.5" customHeight="1" x14ac:dyDescent="0.25">
      <c r="A255" s="64">
        <v>10</v>
      </c>
      <c r="B255" s="64" t="s">
        <v>15</v>
      </c>
      <c r="C255" s="66"/>
      <c r="D255" s="66"/>
      <c r="E255" s="66"/>
      <c r="F255" s="66"/>
      <c r="G255" s="66"/>
      <c r="H255" s="67" t="s">
        <v>272</v>
      </c>
      <c r="I255" s="68"/>
      <c r="J255" s="67" t="s">
        <v>273</v>
      </c>
      <c r="K255" s="71"/>
      <c r="L255" s="71"/>
      <c r="M255" s="71"/>
      <c r="N255" s="71"/>
      <c r="O255" s="71"/>
      <c r="P255" s="71"/>
      <c r="Q255" s="72">
        <f>ROUND(M256*J256,3)</f>
        <v>0</v>
      </c>
    </row>
    <row r="256" spans="1:17" s="18" customFormat="1" ht="106.5" customHeight="1" x14ac:dyDescent="0.25">
      <c r="A256" s="65"/>
      <c r="B256" s="65" t="s">
        <v>274</v>
      </c>
      <c r="C256" s="74"/>
      <c r="D256" s="74"/>
      <c r="E256" s="74"/>
      <c r="F256" s="74"/>
      <c r="G256" s="74"/>
      <c r="H256" s="69"/>
      <c r="I256" s="70"/>
      <c r="J256" s="75">
        <v>0</v>
      </c>
      <c r="K256" s="76"/>
      <c r="L256" s="76"/>
      <c r="M256" s="77">
        <f>ROUND(1*2.4*540/1000,3)</f>
        <v>1.296</v>
      </c>
      <c r="N256" s="78"/>
      <c r="O256" s="78"/>
      <c r="P256" s="78"/>
      <c r="Q256" s="73"/>
    </row>
    <row r="257" spans="1:17" s="28" customFormat="1" ht="19.350000000000001" customHeight="1" x14ac:dyDescent="0.25">
      <c r="A257" s="43" t="s">
        <v>231</v>
      </c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5"/>
      <c r="Q257" s="27">
        <f>SUM(Q237:Q256)</f>
        <v>413.03400000000005</v>
      </c>
    </row>
    <row r="258" spans="1:17" s="21" customFormat="1" ht="21.75" customHeight="1" x14ac:dyDescent="0.25">
      <c r="A258" s="61" t="s">
        <v>258</v>
      </c>
      <c r="B258" s="62"/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3"/>
    </row>
    <row r="259" spans="1:17" s="18" customFormat="1" ht="22.5" customHeight="1" x14ac:dyDescent="0.25">
      <c r="A259" s="46">
        <v>1</v>
      </c>
      <c r="B259" s="46" t="s">
        <v>63</v>
      </c>
      <c r="C259" s="48"/>
      <c r="D259" s="48"/>
      <c r="E259" s="48"/>
      <c r="F259" s="48"/>
      <c r="G259" s="48"/>
      <c r="H259" s="49" t="s">
        <v>259</v>
      </c>
      <c r="I259" s="50"/>
      <c r="J259" s="49" t="s">
        <v>261</v>
      </c>
      <c r="K259" s="53"/>
      <c r="L259" s="53"/>
      <c r="M259" s="53"/>
      <c r="N259" s="53"/>
      <c r="O259" s="53"/>
      <c r="P259" s="53"/>
      <c r="Q259" s="54">
        <f>ROUND(M260*J260,3)</f>
        <v>34.478999999999999</v>
      </c>
    </row>
    <row r="260" spans="1:17" s="18" customFormat="1" ht="84.75" customHeight="1" x14ac:dyDescent="0.25">
      <c r="A260" s="47"/>
      <c r="B260" s="47" t="s">
        <v>260</v>
      </c>
      <c r="C260" s="56"/>
      <c r="D260" s="56"/>
      <c r="E260" s="56"/>
      <c r="F260" s="56"/>
      <c r="G260" s="56"/>
      <c r="H260" s="51"/>
      <c r="I260" s="52"/>
      <c r="J260" s="57">
        <v>1</v>
      </c>
      <c r="K260" s="58"/>
      <c r="L260" s="58"/>
      <c r="M260" s="59">
        <f>ROUND(1*720*0.82*14.6*4/1000,3)</f>
        <v>34.478999999999999</v>
      </c>
      <c r="N260" s="60"/>
      <c r="O260" s="60"/>
      <c r="P260" s="60"/>
      <c r="Q260" s="55"/>
    </row>
    <row r="261" spans="1:17" s="18" customFormat="1" ht="21" customHeight="1" x14ac:dyDescent="0.25">
      <c r="A261" s="46">
        <v>2</v>
      </c>
      <c r="B261" s="46" t="s">
        <v>63</v>
      </c>
      <c r="C261" s="48"/>
      <c r="D261" s="48"/>
      <c r="E261" s="48"/>
      <c r="F261" s="48"/>
      <c r="G261" s="48"/>
      <c r="H261" s="49" t="s">
        <v>265</v>
      </c>
      <c r="I261" s="50"/>
      <c r="J261" s="49" t="s">
        <v>264</v>
      </c>
      <c r="K261" s="53"/>
      <c r="L261" s="53"/>
      <c r="M261" s="53"/>
      <c r="N261" s="53"/>
      <c r="O261" s="53"/>
      <c r="P261" s="53"/>
      <c r="Q261" s="54">
        <f>ROUND(M262*J262,3)</f>
        <v>23.36</v>
      </c>
    </row>
    <row r="262" spans="1:17" s="18" customFormat="1" ht="107.25" customHeight="1" x14ac:dyDescent="0.25">
      <c r="A262" s="47"/>
      <c r="B262" s="47" t="s">
        <v>263</v>
      </c>
      <c r="C262" s="56"/>
      <c r="D262" s="56"/>
      <c r="E262" s="56"/>
      <c r="F262" s="56"/>
      <c r="G262" s="56"/>
      <c r="H262" s="51"/>
      <c r="I262" s="52"/>
      <c r="J262" s="57">
        <v>2</v>
      </c>
      <c r="K262" s="58"/>
      <c r="L262" s="58"/>
      <c r="M262" s="59">
        <f>ROUND(1*200*14.6*4/1000,3)</f>
        <v>11.68</v>
      </c>
      <c r="N262" s="60"/>
      <c r="O262" s="60"/>
      <c r="P262" s="60"/>
      <c r="Q262" s="55"/>
    </row>
    <row r="263" spans="1:17" s="18" customFormat="1" ht="22.5" customHeight="1" x14ac:dyDescent="0.25">
      <c r="A263" s="46">
        <v>3</v>
      </c>
      <c r="B263" s="46" t="s">
        <v>63</v>
      </c>
      <c r="C263" s="48"/>
      <c r="D263" s="48"/>
      <c r="E263" s="48"/>
      <c r="F263" s="48"/>
      <c r="G263" s="48"/>
      <c r="H263" s="49" t="s">
        <v>266</v>
      </c>
      <c r="I263" s="50"/>
      <c r="J263" s="49" t="s">
        <v>267</v>
      </c>
      <c r="K263" s="53"/>
      <c r="L263" s="53"/>
      <c r="M263" s="53"/>
      <c r="N263" s="53"/>
      <c r="O263" s="53"/>
      <c r="P263" s="53"/>
      <c r="Q263" s="54">
        <f>ROUND(M264*J264,3)</f>
        <v>10.512</v>
      </c>
    </row>
    <row r="264" spans="1:17" s="18" customFormat="1" ht="96" customHeight="1" x14ac:dyDescent="0.25">
      <c r="A264" s="47"/>
      <c r="B264" s="47" t="s">
        <v>268</v>
      </c>
      <c r="C264" s="56"/>
      <c r="D264" s="56"/>
      <c r="E264" s="56"/>
      <c r="F264" s="56"/>
      <c r="G264" s="56"/>
      <c r="H264" s="51"/>
      <c r="I264" s="52"/>
      <c r="J264" s="57">
        <v>1</v>
      </c>
      <c r="K264" s="58"/>
      <c r="L264" s="58"/>
      <c r="M264" s="59">
        <f>ROUND(1*180*14.6*4/1000,3)</f>
        <v>10.512</v>
      </c>
      <c r="N264" s="60"/>
      <c r="O264" s="60"/>
      <c r="P264" s="60"/>
      <c r="Q264" s="55"/>
    </row>
    <row r="265" spans="1:17" s="18" customFormat="1" ht="19.5" customHeight="1" x14ac:dyDescent="0.25">
      <c r="A265" s="46">
        <v>4</v>
      </c>
      <c r="B265" s="46" t="s">
        <v>63</v>
      </c>
      <c r="C265" s="48"/>
      <c r="D265" s="48"/>
      <c r="E265" s="48"/>
      <c r="F265" s="48"/>
      <c r="G265" s="48"/>
      <c r="H265" s="49" t="s">
        <v>269</v>
      </c>
      <c r="I265" s="50"/>
      <c r="J265" s="49" t="s">
        <v>271</v>
      </c>
      <c r="K265" s="53"/>
      <c r="L265" s="53"/>
      <c r="M265" s="53"/>
      <c r="N265" s="53"/>
      <c r="O265" s="53"/>
      <c r="P265" s="53"/>
      <c r="Q265" s="54">
        <f>ROUND(M266*J266,3)</f>
        <v>9.9280000000000008</v>
      </c>
    </row>
    <row r="266" spans="1:17" s="18" customFormat="1" ht="106.5" customHeight="1" x14ac:dyDescent="0.25">
      <c r="A266" s="47"/>
      <c r="B266" s="47" t="s">
        <v>270</v>
      </c>
      <c r="C266" s="56"/>
      <c r="D266" s="56"/>
      <c r="E266" s="56"/>
      <c r="F266" s="56"/>
      <c r="G266" s="56"/>
      <c r="H266" s="51"/>
      <c r="I266" s="52"/>
      <c r="J266" s="57">
        <v>2</v>
      </c>
      <c r="K266" s="58"/>
      <c r="L266" s="58"/>
      <c r="M266" s="59">
        <f>ROUND(1*85*14.6*4/1000,3)</f>
        <v>4.9640000000000004</v>
      </c>
      <c r="N266" s="60"/>
      <c r="O266" s="60"/>
      <c r="P266" s="60"/>
      <c r="Q266" s="55"/>
    </row>
    <row r="267" spans="1:17" s="18" customFormat="1" ht="25.5" customHeight="1" x14ac:dyDescent="0.25">
      <c r="A267" s="64">
        <v>5</v>
      </c>
      <c r="B267" s="64" t="s">
        <v>15</v>
      </c>
      <c r="C267" s="66"/>
      <c r="D267" s="66"/>
      <c r="E267" s="66"/>
      <c r="F267" s="66"/>
      <c r="G267" s="66"/>
      <c r="H267" s="67" t="s">
        <v>165</v>
      </c>
      <c r="I267" s="68"/>
      <c r="J267" s="67" t="s">
        <v>141</v>
      </c>
      <c r="K267" s="71"/>
      <c r="L267" s="71"/>
      <c r="M267" s="71"/>
      <c r="N267" s="71"/>
      <c r="O267" s="71"/>
      <c r="P267" s="71"/>
      <c r="Q267" s="72">
        <f>ROUND(M268*J268,3)</f>
        <v>26.623000000000001</v>
      </c>
    </row>
    <row r="268" spans="1:17" s="18" customFormat="1" ht="92.25" customHeight="1" x14ac:dyDescent="0.25">
      <c r="A268" s="65"/>
      <c r="B268" s="65" t="s">
        <v>262</v>
      </c>
      <c r="C268" s="74"/>
      <c r="D268" s="74"/>
      <c r="E268" s="74"/>
      <c r="F268" s="74"/>
      <c r="G268" s="74"/>
      <c r="H268" s="69"/>
      <c r="I268" s="70"/>
      <c r="J268" s="75">
        <v>0.25</v>
      </c>
      <c r="K268" s="76"/>
      <c r="L268" s="76"/>
      <c r="M268" s="77">
        <f>ROUND(1*37.35*1.1*540*1.2*4/1000,3)</f>
        <v>106.492</v>
      </c>
      <c r="N268" s="78"/>
      <c r="O268" s="78"/>
      <c r="P268" s="78"/>
      <c r="Q268" s="73"/>
    </row>
    <row r="269" spans="1:17" s="18" customFormat="1" ht="25.5" customHeight="1" x14ac:dyDescent="0.25">
      <c r="A269" s="64">
        <v>6</v>
      </c>
      <c r="B269" s="64" t="s">
        <v>15</v>
      </c>
      <c r="C269" s="66"/>
      <c r="D269" s="66"/>
      <c r="E269" s="66"/>
      <c r="F269" s="66"/>
      <c r="G269" s="66"/>
      <c r="H269" s="67" t="s">
        <v>272</v>
      </c>
      <c r="I269" s="68"/>
      <c r="J269" s="67" t="s">
        <v>273</v>
      </c>
      <c r="K269" s="71"/>
      <c r="L269" s="71"/>
      <c r="M269" s="71"/>
      <c r="N269" s="71"/>
      <c r="O269" s="71"/>
      <c r="P269" s="71"/>
      <c r="Q269" s="72">
        <f>ROUND(M270*J270,3)</f>
        <v>0</v>
      </c>
    </row>
    <row r="270" spans="1:17" s="18" customFormat="1" ht="111.75" customHeight="1" x14ac:dyDescent="0.25">
      <c r="A270" s="65"/>
      <c r="B270" s="65" t="s">
        <v>274</v>
      </c>
      <c r="C270" s="74"/>
      <c r="D270" s="74"/>
      <c r="E270" s="74"/>
      <c r="F270" s="74"/>
      <c r="G270" s="74"/>
      <c r="H270" s="69"/>
      <c r="I270" s="70"/>
      <c r="J270" s="75">
        <v>0</v>
      </c>
      <c r="K270" s="76"/>
      <c r="L270" s="76"/>
      <c r="M270" s="77">
        <f>ROUND(1*2.4*540/1000,3)</f>
        <v>1.296</v>
      </c>
      <c r="N270" s="78"/>
      <c r="O270" s="78"/>
      <c r="P270" s="78"/>
      <c r="Q270" s="73"/>
    </row>
    <row r="271" spans="1:17" s="28" customFormat="1" ht="19.350000000000001" customHeight="1" x14ac:dyDescent="0.25">
      <c r="A271" s="43" t="s">
        <v>231</v>
      </c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5"/>
      <c r="Q271" s="27">
        <f>SUM(Q259:Q270)</f>
        <v>104.902</v>
      </c>
    </row>
    <row r="272" spans="1:17" s="21" customFormat="1" ht="21.75" customHeight="1" x14ac:dyDescent="0.25">
      <c r="A272" s="61" t="s">
        <v>278</v>
      </c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3"/>
    </row>
    <row r="273" spans="1:17" s="18" customFormat="1" ht="25.5" customHeight="1" x14ac:dyDescent="0.25">
      <c r="A273" s="64">
        <v>1</v>
      </c>
      <c r="B273" s="64" t="s">
        <v>15</v>
      </c>
      <c r="C273" s="66"/>
      <c r="D273" s="66"/>
      <c r="E273" s="66"/>
      <c r="F273" s="66"/>
      <c r="G273" s="66"/>
      <c r="H273" s="67" t="s">
        <v>279</v>
      </c>
      <c r="I273" s="68"/>
      <c r="J273" s="67" t="s">
        <v>280</v>
      </c>
      <c r="K273" s="71"/>
      <c r="L273" s="71"/>
      <c r="M273" s="71"/>
      <c r="N273" s="71"/>
      <c r="O273" s="71"/>
      <c r="P273" s="71"/>
      <c r="Q273" s="72">
        <f>ROUND(M274*J274,3)</f>
        <v>42.72</v>
      </c>
    </row>
    <row r="274" spans="1:17" s="18" customFormat="1" ht="122.25" customHeight="1" x14ac:dyDescent="0.25">
      <c r="A274" s="65"/>
      <c r="B274" s="65" t="s">
        <v>281</v>
      </c>
      <c r="C274" s="74"/>
      <c r="D274" s="74"/>
      <c r="E274" s="74"/>
      <c r="F274" s="74"/>
      <c r="G274" s="74"/>
      <c r="H274" s="69"/>
      <c r="I274" s="70"/>
      <c r="J274" s="75">
        <v>20</v>
      </c>
      <c r="K274" s="76"/>
      <c r="L274" s="76"/>
      <c r="M274" s="77">
        <f>ROUND(1*1.03*0.8*2592/1000,3)</f>
        <v>2.1360000000000001</v>
      </c>
      <c r="N274" s="78"/>
      <c r="O274" s="78"/>
      <c r="P274" s="78"/>
      <c r="Q274" s="73"/>
    </row>
    <row r="275" spans="1:17" s="18" customFormat="1" ht="25.5" customHeight="1" x14ac:dyDescent="0.25">
      <c r="A275" s="64">
        <v>2</v>
      </c>
      <c r="B275" s="64" t="s">
        <v>15</v>
      </c>
      <c r="C275" s="66"/>
      <c r="D275" s="66"/>
      <c r="E275" s="66"/>
      <c r="F275" s="66"/>
      <c r="G275" s="66"/>
      <c r="H275" s="67" t="s">
        <v>282</v>
      </c>
      <c r="I275" s="68"/>
      <c r="J275" s="67" t="s">
        <v>284</v>
      </c>
      <c r="K275" s="71"/>
      <c r="L275" s="71"/>
      <c r="M275" s="71"/>
      <c r="N275" s="71"/>
      <c r="O275" s="71"/>
      <c r="P275" s="71"/>
      <c r="Q275" s="72">
        <f>ROUND(M276*J276,3)</f>
        <v>34</v>
      </c>
    </row>
    <row r="276" spans="1:17" s="18" customFormat="1" ht="122.25" customHeight="1" x14ac:dyDescent="0.25">
      <c r="A276" s="65"/>
      <c r="B276" s="65" t="s">
        <v>283</v>
      </c>
      <c r="C276" s="74"/>
      <c r="D276" s="74"/>
      <c r="E276" s="74"/>
      <c r="F276" s="74"/>
      <c r="G276" s="74"/>
      <c r="H276" s="69"/>
      <c r="I276" s="70"/>
      <c r="J276" s="75">
        <v>20</v>
      </c>
      <c r="K276" s="76"/>
      <c r="L276" s="76"/>
      <c r="M276" s="77">
        <f>ROUND(1*0.82*0.8*2592/1000,3)</f>
        <v>1.7</v>
      </c>
      <c r="N276" s="78"/>
      <c r="O276" s="78"/>
      <c r="P276" s="78"/>
      <c r="Q276" s="73"/>
    </row>
    <row r="277" spans="1:17" s="28" customFormat="1" ht="19.350000000000001" customHeight="1" x14ac:dyDescent="0.25">
      <c r="A277" s="43" t="s">
        <v>276</v>
      </c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5"/>
      <c r="Q277" s="27">
        <f>SUM(Q273:Q276)</f>
        <v>76.72</v>
      </c>
    </row>
    <row r="278" spans="1:17" s="28" customFormat="1" ht="19.350000000000001" hidden="1" customHeight="1" x14ac:dyDescent="0.25">
      <c r="A278" s="32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4"/>
      <c r="Q278" s="27"/>
    </row>
    <row r="279" spans="1:17" s="28" customFormat="1" ht="19.350000000000001" hidden="1" customHeight="1" x14ac:dyDescent="0.25">
      <c r="A279" s="32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4"/>
      <c r="Q279" s="27"/>
    </row>
    <row r="280" spans="1:17" s="28" customFormat="1" ht="19.350000000000001" customHeight="1" x14ac:dyDescent="0.25">
      <c r="A280" s="43" t="s">
        <v>31</v>
      </c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5"/>
      <c r="Q280" s="27">
        <f>Q277+Q271+Q257+Q235+Q217+Q173+Q143+Q123+Q103+Q97+Q71</f>
        <v>3479.8139999999999</v>
      </c>
    </row>
    <row r="281" spans="1:17" s="28" customFormat="1" ht="34.5" customHeight="1" x14ac:dyDescent="0.25">
      <c r="A281" s="35"/>
      <c r="B281" s="90" t="s">
        <v>29</v>
      </c>
      <c r="C281" s="91"/>
      <c r="D281" s="91"/>
      <c r="E281" s="91"/>
      <c r="F281" s="91"/>
      <c r="G281" s="91"/>
      <c r="H281" s="91"/>
      <c r="I281" s="91"/>
      <c r="J281" s="91"/>
      <c r="K281" s="91"/>
      <c r="L281" s="91"/>
      <c r="M281" s="91"/>
      <c r="N281" s="91"/>
      <c r="O281" s="91"/>
      <c r="P281" s="92"/>
      <c r="Q281" s="36">
        <v>0</v>
      </c>
    </row>
    <row r="282" spans="1:17" s="28" customFormat="1" ht="21" customHeight="1" x14ac:dyDescent="0.25">
      <c r="A282" s="35"/>
      <c r="B282" s="93" t="s">
        <v>16</v>
      </c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5"/>
      <c r="Q282" s="36">
        <f>Q280</f>
        <v>3479.8139999999999</v>
      </c>
    </row>
    <row r="283" spans="1:17" s="28" customFormat="1" ht="14.25" customHeight="1" x14ac:dyDescent="0.25">
      <c r="A283" s="37"/>
      <c r="B283" s="38"/>
      <c r="C283" s="39"/>
      <c r="D283" s="39"/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40"/>
      <c r="Q283" s="41"/>
    </row>
    <row r="284" spans="1:17" s="18" customFormat="1" ht="15" customHeight="1" x14ac:dyDescent="0.25">
      <c r="A284" s="88" t="s">
        <v>34</v>
      </c>
      <c r="B284" s="88"/>
      <c r="C284" s="88"/>
      <c r="D284" s="88"/>
      <c r="E284" s="94"/>
      <c r="F284" s="94"/>
      <c r="G284" s="94"/>
      <c r="H284" s="94"/>
      <c r="I284" s="94"/>
      <c r="J284" s="94"/>
      <c r="K284" s="94"/>
      <c r="L284" s="94"/>
      <c r="M284" s="94"/>
      <c r="N284" s="94"/>
      <c r="O284" s="88"/>
      <c r="P284" s="88"/>
      <c r="Q284" s="88"/>
    </row>
    <row r="285" spans="1:17" s="18" customFormat="1" ht="15" customHeight="1" x14ac:dyDescent="0.25">
      <c r="A285" s="42"/>
      <c r="B285" s="42"/>
      <c r="C285" s="42"/>
      <c r="D285" s="42"/>
      <c r="E285" s="89"/>
      <c r="F285" s="89"/>
      <c r="G285" s="89"/>
      <c r="H285" s="89"/>
      <c r="I285" s="89"/>
      <c r="J285" s="89"/>
      <c r="K285" s="89"/>
      <c r="L285" s="89"/>
      <c r="M285" s="89"/>
      <c r="N285" s="89"/>
      <c r="O285" s="88"/>
      <c r="P285" s="88"/>
      <c r="Q285" s="88"/>
    </row>
    <row r="286" spans="1:17" s="18" customFormat="1" ht="15" customHeight="1" x14ac:dyDescent="0.25">
      <c r="A286" s="88"/>
      <c r="B286" s="88"/>
      <c r="C286" s="88"/>
      <c r="D286" s="88"/>
      <c r="E286" s="66" t="s">
        <v>11</v>
      </c>
      <c r="F286" s="66"/>
      <c r="G286" s="66"/>
      <c r="H286" s="66"/>
      <c r="I286" s="66"/>
      <c r="J286" s="66"/>
      <c r="K286" s="66"/>
      <c r="L286" s="66"/>
      <c r="M286" s="66"/>
      <c r="N286" s="66"/>
      <c r="O286" s="88"/>
      <c r="P286" s="88"/>
      <c r="Q286" s="88"/>
    </row>
    <row r="287" spans="1:17" s="18" customFormat="1" ht="27" customHeight="1" x14ac:dyDescent="0.25">
      <c r="A287" s="88" t="s">
        <v>12</v>
      </c>
      <c r="B287" s="88"/>
      <c r="C287" s="89"/>
      <c r="D287" s="89"/>
      <c r="E287" s="89"/>
      <c r="F287" s="89"/>
      <c r="G287" s="89"/>
      <c r="H287" s="89"/>
      <c r="I287" s="89"/>
      <c r="J287" s="89"/>
      <c r="K287" s="89"/>
      <c r="L287" s="89"/>
      <c r="M287" s="89"/>
      <c r="N287" s="89"/>
      <c r="O287" s="88"/>
      <c r="P287" s="88"/>
      <c r="Q287" s="88"/>
    </row>
    <row r="288" spans="1:17" s="18" customFormat="1" ht="15" customHeight="1" x14ac:dyDescent="0.25">
      <c r="A288" s="88"/>
      <c r="B288" s="88"/>
      <c r="C288" s="66" t="s">
        <v>11</v>
      </c>
      <c r="D288" s="66"/>
      <c r="E288" s="66"/>
      <c r="F288" s="66"/>
      <c r="G288" s="66"/>
      <c r="H288" s="66"/>
      <c r="I288" s="66"/>
      <c r="J288" s="66"/>
      <c r="K288" s="66"/>
      <c r="L288" s="66"/>
      <c r="M288" s="66"/>
      <c r="N288" s="66"/>
      <c r="O288" s="88"/>
      <c r="P288" s="88"/>
      <c r="Q288" s="88"/>
    </row>
    <row r="289" s="18" customFormat="1" x14ac:dyDescent="0.25"/>
    <row r="290" s="18" customFormat="1" x14ac:dyDescent="0.25"/>
    <row r="291" s="18" customFormat="1" x14ac:dyDescent="0.25"/>
    <row r="292" s="18" customFormat="1" x14ac:dyDescent="0.25"/>
  </sheetData>
  <mergeCells count="897">
    <mergeCell ref="A233:A234"/>
    <mergeCell ref="B233:G233"/>
    <mergeCell ref="H233:I234"/>
    <mergeCell ref="J233:P233"/>
    <mergeCell ref="Q233:Q234"/>
    <mergeCell ref="B234:G234"/>
    <mergeCell ref="J234:L234"/>
    <mergeCell ref="M234:P234"/>
    <mergeCell ref="A255:A256"/>
    <mergeCell ref="B255:G255"/>
    <mergeCell ref="H255:I256"/>
    <mergeCell ref="J255:P255"/>
    <mergeCell ref="Q255:Q256"/>
    <mergeCell ref="B256:G256"/>
    <mergeCell ref="J256:L256"/>
    <mergeCell ref="M256:P256"/>
    <mergeCell ref="A243:A244"/>
    <mergeCell ref="B243:G243"/>
    <mergeCell ref="H243:I244"/>
    <mergeCell ref="J243:P243"/>
    <mergeCell ref="Q243:Q244"/>
    <mergeCell ref="B244:G244"/>
    <mergeCell ref="J244:L244"/>
    <mergeCell ref="M244:P244"/>
    <mergeCell ref="A275:A276"/>
    <mergeCell ref="B275:G275"/>
    <mergeCell ref="H275:I276"/>
    <mergeCell ref="J275:P275"/>
    <mergeCell ref="Q275:Q276"/>
    <mergeCell ref="B276:G276"/>
    <mergeCell ref="J276:L276"/>
    <mergeCell ref="M276:P276"/>
    <mergeCell ref="A121:A122"/>
    <mergeCell ref="B121:G121"/>
    <mergeCell ref="H121:I122"/>
    <mergeCell ref="J121:P121"/>
    <mergeCell ref="Q121:Q122"/>
    <mergeCell ref="B122:G122"/>
    <mergeCell ref="J122:L122"/>
    <mergeCell ref="M122:P122"/>
    <mergeCell ref="A215:A216"/>
    <mergeCell ref="B215:G215"/>
    <mergeCell ref="H215:I216"/>
    <mergeCell ref="J215:P215"/>
    <mergeCell ref="Q215:Q216"/>
    <mergeCell ref="B216:G216"/>
    <mergeCell ref="J216:L216"/>
    <mergeCell ref="M216:P216"/>
    <mergeCell ref="A272:Q272"/>
    <mergeCell ref="A273:A274"/>
    <mergeCell ref="B273:G273"/>
    <mergeCell ref="H273:I274"/>
    <mergeCell ref="J273:P273"/>
    <mergeCell ref="Q273:Q274"/>
    <mergeCell ref="B274:G274"/>
    <mergeCell ref="J274:L274"/>
    <mergeCell ref="M274:P274"/>
    <mergeCell ref="M266:P266"/>
    <mergeCell ref="A271:P271"/>
    <mergeCell ref="A269:A270"/>
    <mergeCell ref="B269:G269"/>
    <mergeCell ref="H269:I270"/>
    <mergeCell ref="J269:P269"/>
    <mergeCell ref="Q269:Q270"/>
    <mergeCell ref="B270:G270"/>
    <mergeCell ref="J270:L270"/>
    <mergeCell ref="M270:P270"/>
    <mergeCell ref="A267:A268"/>
    <mergeCell ref="B267:G267"/>
    <mergeCell ref="H267:I268"/>
    <mergeCell ref="J267:P267"/>
    <mergeCell ref="Q267:Q268"/>
    <mergeCell ref="B268:G268"/>
    <mergeCell ref="J268:L268"/>
    <mergeCell ref="M268:P268"/>
    <mergeCell ref="A265:A266"/>
    <mergeCell ref="B265:G265"/>
    <mergeCell ref="H265:I266"/>
    <mergeCell ref="J265:P265"/>
    <mergeCell ref="Q265:Q266"/>
    <mergeCell ref="B266:G266"/>
    <mergeCell ref="A261:A262"/>
    <mergeCell ref="B261:G261"/>
    <mergeCell ref="H261:I262"/>
    <mergeCell ref="J261:P261"/>
    <mergeCell ref="Q261:Q262"/>
    <mergeCell ref="B262:G262"/>
    <mergeCell ref="J262:L262"/>
    <mergeCell ref="M262:P262"/>
    <mergeCell ref="A263:A264"/>
    <mergeCell ref="B263:G263"/>
    <mergeCell ref="H263:I264"/>
    <mergeCell ref="J263:P263"/>
    <mergeCell ref="Q263:Q264"/>
    <mergeCell ref="B264:G264"/>
    <mergeCell ref="J264:L264"/>
    <mergeCell ref="M264:P264"/>
    <mergeCell ref="J266:L266"/>
    <mergeCell ref="M110:P110"/>
    <mergeCell ref="A113:A114"/>
    <mergeCell ref="B113:G113"/>
    <mergeCell ref="H113:I114"/>
    <mergeCell ref="J113:P113"/>
    <mergeCell ref="Q113:Q114"/>
    <mergeCell ref="B114:G114"/>
    <mergeCell ref="J114:L114"/>
    <mergeCell ref="M114:P114"/>
    <mergeCell ref="A119:A120"/>
    <mergeCell ref="B119:G119"/>
    <mergeCell ref="H119:I120"/>
    <mergeCell ref="J119:P119"/>
    <mergeCell ref="Q119:Q120"/>
    <mergeCell ref="B120:G120"/>
    <mergeCell ref="J120:L120"/>
    <mergeCell ref="M120:P120"/>
    <mergeCell ref="A123:P123"/>
    <mergeCell ref="A147:A148"/>
    <mergeCell ref="B147:G147"/>
    <mergeCell ref="H147:I148"/>
    <mergeCell ref="J147:P147"/>
    <mergeCell ref="Q147:Q148"/>
    <mergeCell ref="A277:P277"/>
    <mergeCell ref="A107:A108"/>
    <mergeCell ref="B107:G107"/>
    <mergeCell ref="H107:I108"/>
    <mergeCell ref="J107:P107"/>
    <mergeCell ref="Q107:Q108"/>
    <mergeCell ref="B108:G108"/>
    <mergeCell ref="J108:L108"/>
    <mergeCell ref="M108:P108"/>
    <mergeCell ref="A111:A112"/>
    <mergeCell ref="B111:G111"/>
    <mergeCell ref="H111:I112"/>
    <mergeCell ref="J111:P111"/>
    <mergeCell ref="Q111:Q112"/>
    <mergeCell ref="B112:G112"/>
    <mergeCell ref="J112:L112"/>
    <mergeCell ref="M112:P112"/>
    <mergeCell ref="A109:A110"/>
    <mergeCell ref="B109:G109"/>
    <mergeCell ref="H109:I110"/>
    <mergeCell ref="J109:P109"/>
    <mergeCell ref="Q109:Q110"/>
    <mergeCell ref="B110:G110"/>
    <mergeCell ref="J110:L110"/>
    <mergeCell ref="N20:O20"/>
    <mergeCell ref="A21:F21"/>
    <mergeCell ref="G21:O21"/>
    <mergeCell ref="P21:Q22"/>
    <mergeCell ref="A23:Q23"/>
    <mergeCell ref="A24:Q24"/>
    <mergeCell ref="C14:E14"/>
    <mergeCell ref="G15:H15"/>
    <mergeCell ref="A17:J17"/>
    <mergeCell ref="A20:F20"/>
    <mergeCell ref="G20:K20"/>
    <mergeCell ref="L20:M20"/>
    <mergeCell ref="A32:C32"/>
    <mergeCell ref="A35:A36"/>
    <mergeCell ref="B35:G36"/>
    <mergeCell ref="H35:I36"/>
    <mergeCell ref="J35:P35"/>
    <mergeCell ref="Q35:Q36"/>
    <mergeCell ref="J36:P36"/>
    <mergeCell ref="A25:Q25"/>
    <mergeCell ref="A27:Q27"/>
    <mergeCell ref="A28:Q28"/>
    <mergeCell ref="A29:Q29"/>
    <mergeCell ref="A30:Q30"/>
    <mergeCell ref="A31:Q31"/>
    <mergeCell ref="B41:G41"/>
    <mergeCell ref="J41:L41"/>
    <mergeCell ref="M41:P41"/>
    <mergeCell ref="A42:A43"/>
    <mergeCell ref="B42:G42"/>
    <mergeCell ref="H42:I43"/>
    <mergeCell ref="J42:P42"/>
    <mergeCell ref="B37:G37"/>
    <mergeCell ref="H37:I37"/>
    <mergeCell ref="J37:P37"/>
    <mergeCell ref="A38:Q38"/>
    <mergeCell ref="A39:Q39"/>
    <mergeCell ref="A40:A41"/>
    <mergeCell ref="B40:G40"/>
    <mergeCell ref="H40:I41"/>
    <mergeCell ref="J40:P40"/>
    <mergeCell ref="Q40:Q41"/>
    <mergeCell ref="J45:L45"/>
    <mergeCell ref="M45:P45"/>
    <mergeCell ref="A46:A47"/>
    <mergeCell ref="B46:G46"/>
    <mergeCell ref="H46:I47"/>
    <mergeCell ref="J46:P46"/>
    <mergeCell ref="Q42:Q43"/>
    <mergeCell ref="B43:G43"/>
    <mergeCell ref="J43:L43"/>
    <mergeCell ref="M43:P43"/>
    <mergeCell ref="A44:A45"/>
    <mergeCell ref="B44:G44"/>
    <mergeCell ref="H44:I45"/>
    <mergeCell ref="J44:P44"/>
    <mergeCell ref="Q44:Q45"/>
    <mergeCell ref="B45:G45"/>
    <mergeCell ref="J49:L49"/>
    <mergeCell ref="M49:P49"/>
    <mergeCell ref="A50:A51"/>
    <mergeCell ref="B50:G50"/>
    <mergeCell ref="H50:I51"/>
    <mergeCell ref="J50:P50"/>
    <mergeCell ref="Q46:Q47"/>
    <mergeCell ref="B47:G47"/>
    <mergeCell ref="J47:L47"/>
    <mergeCell ref="M47:P47"/>
    <mergeCell ref="A48:A49"/>
    <mergeCell ref="B48:G48"/>
    <mergeCell ref="H48:I49"/>
    <mergeCell ref="J48:P48"/>
    <mergeCell ref="Q48:Q49"/>
    <mergeCell ref="B49:G49"/>
    <mergeCell ref="J53:L53"/>
    <mergeCell ref="M53:P53"/>
    <mergeCell ref="A54:A55"/>
    <mergeCell ref="B54:G54"/>
    <mergeCell ref="H54:I55"/>
    <mergeCell ref="J54:P54"/>
    <mergeCell ref="Q50:Q51"/>
    <mergeCell ref="B51:G51"/>
    <mergeCell ref="J51:L51"/>
    <mergeCell ref="M51:P51"/>
    <mergeCell ref="A52:A53"/>
    <mergeCell ref="B52:G52"/>
    <mergeCell ref="H52:I53"/>
    <mergeCell ref="J52:P52"/>
    <mergeCell ref="Q52:Q53"/>
    <mergeCell ref="B53:G53"/>
    <mergeCell ref="J57:L57"/>
    <mergeCell ref="M57:P57"/>
    <mergeCell ref="A58:Q58"/>
    <mergeCell ref="B59:Q59"/>
    <mergeCell ref="B60:Q60"/>
    <mergeCell ref="B61:Q61"/>
    <mergeCell ref="Q54:Q55"/>
    <mergeCell ref="B55:G55"/>
    <mergeCell ref="J55:L55"/>
    <mergeCell ref="M55:P55"/>
    <mergeCell ref="A56:A57"/>
    <mergeCell ref="B56:G56"/>
    <mergeCell ref="H56:I57"/>
    <mergeCell ref="J56:P56"/>
    <mergeCell ref="Q56:Q57"/>
    <mergeCell ref="B57:G57"/>
    <mergeCell ref="B62:Q62"/>
    <mergeCell ref="B63:Q63"/>
    <mergeCell ref="B64:Q64"/>
    <mergeCell ref="B65:Q65"/>
    <mergeCell ref="B66:Q66"/>
    <mergeCell ref="A67:A68"/>
    <mergeCell ref="B67:G67"/>
    <mergeCell ref="H67:I68"/>
    <mergeCell ref="J67:P67"/>
    <mergeCell ref="Q67:Q68"/>
    <mergeCell ref="Q69:Q70"/>
    <mergeCell ref="B70:G70"/>
    <mergeCell ref="J70:L70"/>
    <mergeCell ref="M70:P70"/>
    <mergeCell ref="A71:P71"/>
    <mergeCell ref="A280:P280"/>
    <mergeCell ref="B68:G68"/>
    <mergeCell ref="J68:L68"/>
    <mergeCell ref="M68:P68"/>
    <mergeCell ref="A69:A70"/>
    <mergeCell ref="B69:G69"/>
    <mergeCell ref="H69:I70"/>
    <mergeCell ref="J69:P69"/>
    <mergeCell ref="A72:Q72"/>
    <mergeCell ref="A73:Q73"/>
    <mergeCell ref="A74:A75"/>
    <mergeCell ref="B74:G74"/>
    <mergeCell ref="H74:I75"/>
    <mergeCell ref="J74:P74"/>
    <mergeCell ref="Q74:Q75"/>
    <mergeCell ref="B75:G75"/>
    <mergeCell ref="J75:L75"/>
    <mergeCell ref="M75:P75"/>
    <mergeCell ref="A76:A77"/>
    <mergeCell ref="A287:B287"/>
    <mergeCell ref="C287:N287"/>
    <mergeCell ref="O287:Q288"/>
    <mergeCell ref="A288:B288"/>
    <mergeCell ref="C288:N288"/>
    <mergeCell ref="B281:P281"/>
    <mergeCell ref="B282:P282"/>
    <mergeCell ref="A284:N284"/>
    <mergeCell ref="O284:Q286"/>
    <mergeCell ref="E285:N285"/>
    <mergeCell ref="A286:D286"/>
    <mergeCell ref="E286:N286"/>
    <mergeCell ref="B76:G76"/>
    <mergeCell ref="H76:I77"/>
    <mergeCell ref="J76:P76"/>
    <mergeCell ref="Q76:Q77"/>
    <mergeCell ref="B77:G77"/>
    <mergeCell ref="J77:L77"/>
    <mergeCell ref="M77:P77"/>
    <mergeCell ref="A78:A79"/>
    <mergeCell ref="B78:G78"/>
    <mergeCell ref="H78:I79"/>
    <mergeCell ref="J78:P78"/>
    <mergeCell ref="Q78:Q79"/>
    <mergeCell ref="B79:G79"/>
    <mergeCell ref="J79:L79"/>
    <mergeCell ref="M79:P79"/>
    <mergeCell ref="A80:A81"/>
    <mergeCell ref="B80:G80"/>
    <mergeCell ref="H80:I81"/>
    <mergeCell ref="J80:P80"/>
    <mergeCell ref="Q80:Q81"/>
    <mergeCell ref="B81:G81"/>
    <mergeCell ref="J81:L81"/>
    <mergeCell ref="M81:P81"/>
    <mergeCell ref="A82:A83"/>
    <mergeCell ref="B82:G82"/>
    <mergeCell ref="H82:I83"/>
    <mergeCell ref="J82:P82"/>
    <mergeCell ref="Q82:Q83"/>
    <mergeCell ref="B83:G83"/>
    <mergeCell ref="J83:L83"/>
    <mergeCell ref="M83:P83"/>
    <mergeCell ref="A84:A85"/>
    <mergeCell ref="B84:G84"/>
    <mergeCell ref="H84:I85"/>
    <mergeCell ref="J84:P84"/>
    <mergeCell ref="Q84:Q85"/>
    <mergeCell ref="B85:G85"/>
    <mergeCell ref="J85:L85"/>
    <mergeCell ref="M85:P85"/>
    <mergeCell ref="A86:A87"/>
    <mergeCell ref="B86:G86"/>
    <mergeCell ref="H86:I87"/>
    <mergeCell ref="J86:P86"/>
    <mergeCell ref="Q86:Q87"/>
    <mergeCell ref="B87:G87"/>
    <mergeCell ref="J87:L87"/>
    <mergeCell ref="M87:P87"/>
    <mergeCell ref="A92:Q92"/>
    <mergeCell ref="A88:A89"/>
    <mergeCell ref="B88:G88"/>
    <mergeCell ref="H88:I89"/>
    <mergeCell ref="J88:P88"/>
    <mergeCell ref="Q88:Q89"/>
    <mergeCell ref="B89:G89"/>
    <mergeCell ref="J89:L89"/>
    <mergeCell ref="M89:P89"/>
    <mergeCell ref="A90:A91"/>
    <mergeCell ref="B90:G90"/>
    <mergeCell ref="H90:I91"/>
    <mergeCell ref="J90:P90"/>
    <mergeCell ref="Q90:Q91"/>
    <mergeCell ref="B91:G91"/>
    <mergeCell ref="J91:L91"/>
    <mergeCell ref="M91:P91"/>
    <mergeCell ref="A93:A94"/>
    <mergeCell ref="B93:G93"/>
    <mergeCell ref="H93:I94"/>
    <mergeCell ref="J93:P93"/>
    <mergeCell ref="Q93:Q94"/>
    <mergeCell ref="B94:G94"/>
    <mergeCell ref="J94:L94"/>
    <mergeCell ref="M94:P94"/>
    <mergeCell ref="A99:A100"/>
    <mergeCell ref="B99:G99"/>
    <mergeCell ref="H99:I100"/>
    <mergeCell ref="J99:P99"/>
    <mergeCell ref="Q99:Q100"/>
    <mergeCell ref="B100:G100"/>
    <mergeCell ref="J100:L100"/>
    <mergeCell ref="M100:P100"/>
    <mergeCell ref="A95:A96"/>
    <mergeCell ref="B95:G95"/>
    <mergeCell ref="H95:I96"/>
    <mergeCell ref="J95:P95"/>
    <mergeCell ref="Q95:Q96"/>
    <mergeCell ref="B96:G96"/>
    <mergeCell ref="J96:L96"/>
    <mergeCell ref="M96:P96"/>
    <mergeCell ref="A101:A102"/>
    <mergeCell ref="B101:G101"/>
    <mergeCell ref="H101:I102"/>
    <mergeCell ref="J101:P101"/>
    <mergeCell ref="Q101:Q102"/>
    <mergeCell ref="B102:G102"/>
    <mergeCell ref="J102:L102"/>
    <mergeCell ref="M102:P102"/>
    <mergeCell ref="A97:P97"/>
    <mergeCell ref="A105:A106"/>
    <mergeCell ref="B105:G105"/>
    <mergeCell ref="H105:I106"/>
    <mergeCell ref="J105:P105"/>
    <mergeCell ref="Q105:Q106"/>
    <mergeCell ref="B106:G106"/>
    <mergeCell ref="A117:A118"/>
    <mergeCell ref="B117:G117"/>
    <mergeCell ref="H117:I118"/>
    <mergeCell ref="J117:P117"/>
    <mergeCell ref="Q117:Q118"/>
    <mergeCell ref="B118:G118"/>
    <mergeCell ref="J118:L118"/>
    <mergeCell ref="M118:P118"/>
    <mergeCell ref="J106:L106"/>
    <mergeCell ref="M106:P106"/>
    <mergeCell ref="A115:A116"/>
    <mergeCell ref="B115:G115"/>
    <mergeCell ref="H115:I116"/>
    <mergeCell ref="J115:P115"/>
    <mergeCell ref="Q115:Q116"/>
    <mergeCell ref="B116:G116"/>
    <mergeCell ref="J116:L116"/>
    <mergeCell ref="M116:P116"/>
    <mergeCell ref="A103:P103"/>
    <mergeCell ref="A104:Q104"/>
    <mergeCell ref="A98:Q98"/>
    <mergeCell ref="A144:Q144"/>
    <mergeCell ref="A145:A146"/>
    <mergeCell ref="B145:G145"/>
    <mergeCell ref="H145:I146"/>
    <mergeCell ref="J145:P145"/>
    <mergeCell ref="Q145:Q146"/>
    <mergeCell ref="B146:G146"/>
    <mergeCell ref="J146:L146"/>
    <mergeCell ref="M146:P146"/>
    <mergeCell ref="A124:Q124"/>
    <mergeCell ref="A125:A126"/>
    <mergeCell ref="B125:G125"/>
    <mergeCell ref="H125:I126"/>
    <mergeCell ref="J125:P125"/>
    <mergeCell ref="Q125:Q126"/>
    <mergeCell ref="B126:G126"/>
    <mergeCell ref="J126:L126"/>
    <mergeCell ref="M126:P126"/>
    <mergeCell ref="A127:A128"/>
    <mergeCell ref="B127:G127"/>
    <mergeCell ref="H127:I128"/>
    <mergeCell ref="B148:G148"/>
    <mergeCell ref="J148:L148"/>
    <mergeCell ref="M148:P148"/>
    <mergeCell ref="A149:A150"/>
    <mergeCell ref="B149:G149"/>
    <mergeCell ref="H149:I150"/>
    <mergeCell ref="J149:P149"/>
    <mergeCell ref="Q149:Q150"/>
    <mergeCell ref="B150:G150"/>
    <mergeCell ref="J150:L150"/>
    <mergeCell ref="M150:P150"/>
    <mergeCell ref="A151:A152"/>
    <mergeCell ref="B151:G151"/>
    <mergeCell ref="H151:I152"/>
    <mergeCell ref="J151:P151"/>
    <mergeCell ref="Q151:Q152"/>
    <mergeCell ref="B152:G152"/>
    <mergeCell ref="J152:L152"/>
    <mergeCell ref="M152:P152"/>
    <mergeCell ref="A153:A154"/>
    <mergeCell ref="B153:G153"/>
    <mergeCell ref="H153:I154"/>
    <mergeCell ref="J153:P153"/>
    <mergeCell ref="Q153:Q154"/>
    <mergeCell ref="B154:G154"/>
    <mergeCell ref="J154:L154"/>
    <mergeCell ref="M154:P154"/>
    <mergeCell ref="A155:A156"/>
    <mergeCell ref="B155:G155"/>
    <mergeCell ref="H155:I156"/>
    <mergeCell ref="J155:P155"/>
    <mergeCell ref="Q155:Q156"/>
    <mergeCell ref="B156:G156"/>
    <mergeCell ref="J156:L156"/>
    <mergeCell ref="M156:P156"/>
    <mergeCell ref="A157:A158"/>
    <mergeCell ref="B157:G157"/>
    <mergeCell ref="H157:I158"/>
    <mergeCell ref="J157:P157"/>
    <mergeCell ref="Q157:Q158"/>
    <mergeCell ref="B158:G158"/>
    <mergeCell ref="J158:L158"/>
    <mergeCell ref="M158:P158"/>
    <mergeCell ref="A159:A160"/>
    <mergeCell ref="B159:G159"/>
    <mergeCell ref="H159:I160"/>
    <mergeCell ref="J159:P159"/>
    <mergeCell ref="Q159:Q160"/>
    <mergeCell ref="B160:G160"/>
    <mergeCell ref="J160:L160"/>
    <mergeCell ref="M160:P160"/>
    <mergeCell ref="A161:A162"/>
    <mergeCell ref="B161:G161"/>
    <mergeCell ref="H161:I162"/>
    <mergeCell ref="J161:P161"/>
    <mergeCell ref="Q161:Q162"/>
    <mergeCell ref="B162:G162"/>
    <mergeCell ref="J162:L162"/>
    <mergeCell ref="M162:P162"/>
    <mergeCell ref="A163:A164"/>
    <mergeCell ref="B163:G163"/>
    <mergeCell ref="H163:I164"/>
    <mergeCell ref="J163:P163"/>
    <mergeCell ref="Q163:Q164"/>
    <mergeCell ref="B164:G164"/>
    <mergeCell ref="J164:L164"/>
    <mergeCell ref="M164:P164"/>
    <mergeCell ref="A165:A166"/>
    <mergeCell ref="B165:G165"/>
    <mergeCell ref="H165:I166"/>
    <mergeCell ref="J165:P165"/>
    <mergeCell ref="Q165:Q166"/>
    <mergeCell ref="B166:G166"/>
    <mergeCell ref="J166:L166"/>
    <mergeCell ref="M166:P166"/>
    <mergeCell ref="A167:A168"/>
    <mergeCell ref="B167:G167"/>
    <mergeCell ref="H167:I168"/>
    <mergeCell ref="J167:P167"/>
    <mergeCell ref="Q167:Q168"/>
    <mergeCell ref="B168:G168"/>
    <mergeCell ref="J168:L168"/>
    <mergeCell ref="M168:P168"/>
    <mergeCell ref="A169:A170"/>
    <mergeCell ref="B169:G169"/>
    <mergeCell ref="H169:I170"/>
    <mergeCell ref="J169:P169"/>
    <mergeCell ref="Q169:Q170"/>
    <mergeCell ref="B170:G170"/>
    <mergeCell ref="J170:L170"/>
    <mergeCell ref="M170:P170"/>
    <mergeCell ref="M176:P176"/>
    <mergeCell ref="A171:A172"/>
    <mergeCell ref="B171:G171"/>
    <mergeCell ref="H171:I172"/>
    <mergeCell ref="J171:P171"/>
    <mergeCell ref="Q171:Q172"/>
    <mergeCell ref="B172:G172"/>
    <mergeCell ref="J172:L172"/>
    <mergeCell ref="M172:P172"/>
    <mergeCell ref="A173:P173"/>
    <mergeCell ref="A191:A192"/>
    <mergeCell ref="B191:G191"/>
    <mergeCell ref="H191:I192"/>
    <mergeCell ref="J191:P191"/>
    <mergeCell ref="Q191:Q192"/>
    <mergeCell ref="B192:G192"/>
    <mergeCell ref="J192:L192"/>
    <mergeCell ref="M192:P192"/>
    <mergeCell ref="A177:A178"/>
    <mergeCell ref="B177:G177"/>
    <mergeCell ref="H177:I178"/>
    <mergeCell ref="J177:P177"/>
    <mergeCell ref="Q177:Q178"/>
    <mergeCell ref="B178:G178"/>
    <mergeCell ref="J178:L178"/>
    <mergeCell ref="M178:P178"/>
    <mergeCell ref="B179:G179"/>
    <mergeCell ref="H179:I180"/>
    <mergeCell ref="J179:P179"/>
    <mergeCell ref="Q179:Q180"/>
    <mergeCell ref="B180:G180"/>
    <mergeCell ref="J180:L180"/>
    <mergeCell ref="M180:P180"/>
    <mergeCell ref="A185:A186"/>
    <mergeCell ref="J127:P127"/>
    <mergeCell ref="Q127:Q128"/>
    <mergeCell ref="B128:G128"/>
    <mergeCell ref="J128:L128"/>
    <mergeCell ref="M128:P128"/>
    <mergeCell ref="A129:A130"/>
    <mergeCell ref="B129:G129"/>
    <mergeCell ref="H129:I130"/>
    <mergeCell ref="J129:P129"/>
    <mergeCell ref="Q129:Q130"/>
    <mergeCell ref="B130:G130"/>
    <mergeCell ref="J130:L130"/>
    <mergeCell ref="M130:P130"/>
    <mergeCell ref="A131:A132"/>
    <mergeCell ref="B131:G131"/>
    <mergeCell ref="H131:I132"/>
    <mergeCell ref="J131:P131"/>
    <mergeCell ref="Q131:Q132"/>
    <mergeCell ref="B132:G132"/>
    <mergeCell ref="J132:L132"/>
    <mergeCell ref="M132:P132"/>
    <mergeCell ref="A133:A134"/>
    <mergeCell ref="B133:G133"/>
    <mergeCell ref="H133:I134"/>
    <mergeCell ref="J133:P133"/>
    <mergeCell ref="Q133:Q134"/>
    <mergeCell ref="B134:G134"/>
    <mergeCell ref="J134:L134"/>
    <mergeCell ref="M134:P134"/>
    <mergeCell ref="A135:A136"/>
    <mergeCell ref="B135:G135"/>
    <mergeCell ref="H135:I136"/>
    <mergeCell ref="J135:P135"/>
    <mergeCell ref="Q135:Q136"/>
    <mergeCell ref="B136:G136"/>
    <mergeCell ref="J136:L136"/>
    <mergeCell ref="M136:P136"/>
    <mergeCell ref="A137:A138"/>
    <mergeCell ref="B137:G137"/>
    <mergeCell ref="H137:I138"/>
    <mergeCell ref="J137:P137"/>
    <mergeCell ref="Q137:Q138"/>
    <mergeCell ref="B138:G138"/>
    <mergeCell ref="J138:L138"/>
    <mergeCell ref="M138:P138"/>
    <mergeCell ref="A141:A142"/>
    <mergeCell ref="B141:G141"/>
    <mergeCell ref="H141:I142"/>
    <mergeCell ref="J141:P141"/>
    <mergeCell ref="Q141:Q142"/>
    <mergeCell ref="B142:G142"/>
    <mergeCell ref="J142:L142"/>
    <mergeCell ref="M142:P142"/>
    <mergeCell ref="A139:A140"/>
    <mergeCell ref="B139:G139"/>
    <mergeCell ref="H139:I140"/>
    <mergeCell ref="J139:P139"/>
    <mergeCell ref="Q139:Q140"/>
    <mergeCell ref="B140:G140"/>
    <mergeCell ref="J140:L140"/>
    <mergeCell ref="M140:P140"/>
    <mergeCell ref="A143:P143"/>
    <mergeCell ref="A183:A184"/>
    <mergeCell ref="B183:G183"/>
    <mergeCell ref="H183:I184"/>
    <mergeCell ref="J183:P183"/>
    <mergeCell ref="Q183:Q184"/>
    <mergeCell ref="B184:G184"/>
    <mergeCell ref="J184:L184"/>
    <mergeCell ref="M184:P184"/>
    <mergeCell ref="B181:G181"/>
    <mergeCell ref="H181:I182"/>
    <mergeCell ref="J181:P181"/>
    <mergeCell ref="Q181:Q182"/>
    <mergeCell ref="B182:G182"/>
    <mergeCell ref="J182:L182"/>
    <mergeCell ref="M182:P182"/>
    <mergeCell ref="A174:Q174"/>
    <mergeCell ref="A175:A176"/>
    <mergeCell ref="B175:G175"/>
    <mergeCell ref="H175:I176"/>
    <mergeCell ref="J175:P175"/>
    <mergeCell ref="Q175:Q176"/>
    <mergeCell ref="B176:G176"/>
    <mergeCell ref="J176:L176"/>
    <mergeCell ref="A189:A190"/>
    <mergeCell ref="B189:G189"/>
    <mergeCell ref="H189:I190"/>
    <mergeCell ref="J189:P189"/>
    <mergeCell ref="Q189:Q190"/>
    <mergeCell ref="B190:G190"/>
    <mergeCell ref="J190:L190"/>
    <mergeCell ref="M190:P190"/>
    <mergeCell ref="B185:G185"/>
    <mergeCell ref="H185:I186"/>
    <mergeCell ref="J185:P185"/>
    <mergeCell ref="Q185:Q186"/>
    <mergeCell ref="B186:G186"/>
    <mergeCell ref="J186:L186"/>
    <mergeCell ref="M186:P186"/>
    <mergeCell ref="A187:A188"/>
    <mergeCell ref="B187:G187"/>
    <mergeCell ref="H187:I188"/>
    <mergeCell ref="J187:P187"/>
    <mergeCell ref="Q187:Q188"/>
    <mergeCell ref="B188:G188"/>
    <mergeCell ref="J188:L188"/>
    <mergeCell ref="M188:P188"/>
    <mergeCell ref="A193:A194"/>
    <mergeCell ref="B193:G193"/>
    <mergeCell ref="H193:I194"/>
    <mergeCell ref="J193:P193"/>
    <mergeCell ref="Q193:Q194"/>
    <mergeCell ref="B194:G194"/>
    <mergeCell ref="J194:L194"/>
    <mergeCell ref="M194:P194"/>
    <mergeCell ref="A195:A196"/>
    <mergeCell ref="B195:G195"/>
    <mergeCell ref="H195:I196"/>
    <mergeCell ref="J195:P195"/>
    <mergeCell ref="Q195:Q196"/>
    <mergeCell ref="B196:G196"/>
    <mergeCell ref="J196:L196"/>
    <mergeCell ref="M196:P196"/>
    <mergeCell ref="A197:A198"/>
    <mergeCell ref="B197:G197"/>
    <mergeCell ref="H197:I198"/>
    <mergeCell ref="J197:P197"/>
    <mergeCell ref="Q197:Q198"/>
    <mergeCell ref="B198:G198"/>
    <mergeCell ref="J198:L198"/>
    <mergeCell ref="M198:P198"/>
    <mergeCell ref="A199:A200"/>
    <mergeCell ref="B199:G199"/>
    <mergeCell ref="H199:I200"/>
    <mergeCell ref="J199:P199"/>
    <mergeCell ref="Q199:Q200"/>
    <mergeCell ref="B200:G200"/>
    <mergeCell ref="J200:L200"/>
    <mergeCell ref="M200:P200"/>
    <mergeCell ref="A201:A202"/>
    <mergeCell ref="B201:G201"/>
    <mergeCell ref="H201:I202"/>
    <mergeCell ref="J201:P201"/>
    <mergeCell ref="Q201:Q202"/>
    <mergeCell ref="B202:G202"/>
    <mergeCell ref="J202:L202"/>
    <mergeCell ref="M202:P202"/>
    <mergeCell ref="A203:A204"/>
    <mergeCell ref="B203:G203"/>
    <mergeCell ref="H203:I204"/>
    <mergeCell ref="J203:P203"/>
    <mergeCell ref="Q203:Q204"/>
    <mergeCell ref="B204:G204"/>
    <mergeCell ref="J204:L204"/>
    <mergeCell ref="M204:P204"/>
    <mergeCell ref="A205:A206"/>
    <mergeCell ref="B205:G205"/>
    <mergeCell ref="H205:I206"/>
    <mergeCell ref="J205:P205"/>
    <mergeCell ref="Q205:Q206"/>
    <mergeCell ref="B206:G206"/>
    <mergeCell ref="J206:L206"/>
    <mergeCell ref="M206:P206"/>
    <mergeCell ref="A207:A208"/>
    <mergeCell ref="B207:G207"/>
    <mergeCell ref="H207:I208"/>
    <mergeCell ref="J207:P207"/>
    <mergeCell ref="Q207:Q208"/>
    <mergeCell ref="B208:G208"/>
    <mergeCell ref="J208:L208"/>
    <mergeCell ref="M208:P208"/>
    <mergeCell ref="A209:A210"/>
    <mergeCell ref="B209:G209"/>
    <mergeCell ref="H209:I210"/>
    <mergeCell ref="J209:P209"/>
    <mergeCell ref="Q209:Q210"/>
    <mergeCell ref="B210:G210"/>
    <mergeCell ref="J210:L210"/>
    <mergeCell ref="M210:P210"/>
    <mergeCell ref="A211:A212"/>
    <mergeCell ref="B211:G211"/>
    <mergeCell ref="H211:I212"/>
    <mergeCell ref="J211:P211"/>
    <mergeCell ref="Q211:Q212"/>
    <mergeCell ref="B212:G212"/>
    <mergeCell ref="J212:L212"/>
    <mergeCell ref="M212:P212"/>
    <mergeCell ref="A213:A214"/>
    <mergeCell ref="B213:G213"/>
    <mergeCell ref="H213:I214"/>
    <mergeCell ref="J213:P213"/>
    <mergeCell ref="Q213:Q214"/>
    <mergeCell ref="B214:G214"/>
    <mergeCell ref="J214:L214"/>
    <mergeCell ref="M214:P214"/>
    <mergeCell ref="A217:P217"/>
    <mergeCell ref="A218:Q218"/>
    <mergeCell ref="A219:A220"/>
    <mergeCell ref="B219:G219"/>
    <mergeCell ref="H219:I220"/>
    <mergeCell ref="J219:P219"/>
    <mergeCell ref="Q219:Q220"/>
    <mergeCell ref="B220:G220"/>
    <mergeCell ref="J220:L220"/>
    <mergeCell ref="M220:P220"/>
    <mergeCell ref="A221:A222"/>
    <mergeCell ref="B221:G221"/>
    <mergeCell ref="H221:I222"/>
    <mergeCell ref="J221:P221"/>
    <mergeCell ref="Q221:Q222"/>
    <mergeCell ref="B222:G222"/>
    <mergeCell ref="J222:L222"/>
    <mergeCell ref="M222:P222"/>
    <mergeCell ref="A223:A224"/>
    <mergeCell ref="B223:G223"/>
    <mergeCell ref="H223:I224"/>
    <mergeCell ref="J223:P223"/>
    <mergeCell ref="Q223:Q224"/>
    <mergeCell ref="B224:G224"/>
    <mergeCell ref="J224:L224"/>
    <mergeCell ref="M224:P224"/>
    <mergeCell ref="A225:A226"/>
    <mergeCell ref="B225:G225"/>
    <mergeCell ref="H225:I226"/>
    <mergeCell ref="J225:P225"/>
    <mergeCell ref="Q225:Q226"/>
    <mergeCell ref="B226:G226"/>
    <mergeCell ref="J226:L226"/>
    <mergeCell ref="M226:P226"/>
    <mergeCell ref="A227:A228"/>
    <mergeCell ref="B227:G227"/>
    <mergeCell ref="H227:I228"/>
    <mergeCell ref="J227:P227"/>
    <mergeCell ref="Q227:Q228"/>
    <mergeCell ref="B228:G228"/>
    <mergeCell ref="J228:L228"/>
    <mergeCell ref="M228:P228"/>
    <mergeCell ref="A229:A230"/>
    <mergeCell ref="B229:G229"/>
    <mergeCell ref="H229:I230"/>
    <mergeCell ref="J229:P229"/>
    <mergeCell ref="Q229:Q230"/>
    <mergeCell ref="B230:G230"/>
    <mergeCell ref="J230:L230"/>
    <mergeCell ref="M230:P230"/>
    <mergeCell ref="A231:A232"/>
    <mergeCell ref="B231:G231"/>
    <mergeCell ref="H231:I232"/>
    <mergeCell ref="J231:P231"/>
    <mergeCell ref="Q231:Q232"/>
    <mergeCell ref="B232:G232"/>
    <mergeCell ref="J232:L232"/>
    <mergeCell ref="M232:P232"/>
    <mergeCell ref="A235:P235"/>
    <mergeCell ref="A236:Q236"/>
    <mergeCell ref="A237:A238"/>
    <mergeCell ref="B237:G237"/>
    <mergeCell ref="H237:I238"/>
    <mergeCell ref="J237:P237"/>
    <mergeCell ref="Q237:Q238"/>
    <mergeCell ref="B238:G238"/>
    <mergeCell ref="J238:L238"/>
    <mergeCell ref="M238:P238"/>
    <mergeCell ref="A239:A240"/>
    <mergeCell ref="B239:G239"/>
    <mergeCell ref="H239:I240"/>
    <mergeCell ref="J239:P239"/>
    <mergeCell ref="Q239:Q240"/>
    <mergeCell ref="B240:G240"/>
    <mergeCell ref="J240:L240"/>
    <mergeCell ref="M240:P240"/>
    <mergeCell ref="A245:A246"/>
    <mergeCell ref="B245:G245"/>
    <mergeCell ref="H245:I246"/>
    <mergeCell ref="J245:P245"/>
    <mergeCell ref="Q245:Q246"/>
    <mergeCell ref="B246:G246"/>
    <mergeCell ref="J246:L246"/>
    <mergeCell ref="M246:P246"/>
    <mergeCell ref="A241:A242"/>
    <mergeCell ref="B241:G241"/>
    <mergeCell ref="H241:I242"/>
    <mergeCell ref="J241:P241"/>
    <mergeCell ref="Q241:Q242"/>
    <mergeCell ref="B242:G242"/>
    <mergeCell ref="J242:L242"/>
    <mergeCell ref="M242:P242"/>
    <mergeCell ref="A247:A248"/>
    <mergeCell ref="B247:G247"/>
    <mergeCell ref="H247:I248"/>
    <mergeCell ref="J247:P247"/>
    <mergeCell ref="Q247:Q248"/>
    <mergeCell ref="B248:G248"/>
    <mergeCell ref="J248:L248"/>
    <mergeCell ref="M248:P248"/>
    <mergeCell ref="A249:A250"/>
    <mergeCell ref="B249:G249"/>
    <mergeCell ref="H249:I250"/>
    <mergeCell ref="J249:P249"/>
    <mergeCell ref="Q249:Q250"/>
    <mergeCell ref="B250:G250"/>
    <mergeCell ref="J250:L250"/>
    <mergeCell ref="M250:P250"/>
    <mergeCell ref="A251:A252"/>
    <mergeCell ref="B251:G251"/>
    <mergeCell ref="H251:I252"/>
    <mergeCell ref="J251:P251"/>
    <mergeCell ref="Q251:Q252"/>
    <mergeCell ref="B252:G252"/>
    <mergeCell ref="J252:L252"/>
    <mergeCell ref="M252:P252"/>
    <mergeCell ref="A253:A254"/>
    <mergeCell ref="B253:G253"/>
    <mergeCell ref="H253:I254"/>
    <mergeCell ref="J253:P253"/>
    <mergeCell ref="Q253:Q254"/>
    <mergeCell ref="B254:G254"/>
    <mergeCell ref="J254:L254"/>
    <mergeCell ref="M254:P254"/>
    <mergeCell ref="A257:P257"/>
    <mergeCell ref="A259:A260"/>
    <mergeCell ref="B259:G259"/>
    <mergeCell ref="H259:I260"/>
    <mergeCell ref="J259:P259"/>
    <mergeCell ref="Q259:Q260"/>
    <mergeCell ref="B260:G260"/>
    <mergeCell ref="J260:L260"/>
    <mergeCell ref="M260:P260"/>
    <mergeCell ref="A258:Q258"/>
  </mergeCells>
  <pageMargins left="0.47" right="0.24" top="0.36" bottom="0.28000000000000003" header="0.2" footer="0.14000000000000001"/>
  <pageSetup paperSize="9" scale="95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/>
  </sheetViews>
  <sheetFormatPr defaultColWidth="8.85546875" defaultRowHeight="15" x14ac:dyDescent="0.25"/>
  <cols>
    <col min="1" max="1" width="9.140625" customWidth="1"/>
    <col min="7" max="7" width="146.42578125" customWidth="1"/>
  </cols>
  <sheetData>
    <row r="1" spans="1:7" x14ac:dyDescent="0.25">
      <c r="A1" t="s">
        <v>0</v>
      </c>
      <c r="G1" s="1"/>
    </row>
    <row r="2" spans="1:7" x14ac:dyDescent="0.25">
      <c r="A2" t="e">
        <f>#REF!</f>
        <v>#REF!</v>
      </c>
      <c r="B2">
        <v>1</v>
      </c>
      <c r="C2">
        <v>0</v>
      </c>
      <c r="D2">
        <v>0</v>
      </c>
      <c r="E2">
        <v>0</v>
      </c>
      <c r="F2">
        <v>1000</v>
      </c>
    </row>
    <row r="3" spans="1:7" x14ac:dyDescent="0.25">
      <c r="A3" t="e">
        <f>#REF!</f>
        <v>#REF!</v>
      </c>
      <c r="B3">
        <v>1</v>
      </c>
      <c r="C3">
        <v>1</v>
      </c>
      <c r="D3">
        <v>0</v>
      </c>
      <c r="E3">
        <v>0</v>
      </c>
      <c r="F3">
        <v>1001</v>
      </c>
    </row>
    <row r="4" spans="1:7" x14ac:dyDescent="0.25">
      <c r="A4" t="e">
        <f>#REF!</f>
        <v>#REF!</v>
      </c>
      <c r="B4">
        <v>1</v>
      </c>
      <c r="C4">
        <v>1</v>
      </c>
      <c r="D4">
        <v>1</v>
      </c>
      <c r="E4">
        <v>0</v>
      </c>
      <c r="F4">
        <v>1001</v>
      </c>
    </row>
    <row r="5" spans="1:7" x14ac:dyDescent="0.25">
      <c r="A5" s="2" t="e">
        <f>#REF!</f>
        <v>#REF!</v>
      </c>
      <c r="B5">
        <v>1</v>
      </c>
      <c r="C5">
        <v>1</v>
      </c>
      <c r="D5">
        <v>3</v>
      </c>
      <c r="E5">
        <v>0</v>
      </c>
      <c r="F5">
        <v>1001</v>
      </c>
    </row>
    <row r="6" spans="1:7" x14ac:dyDescent="0.25">
      <c r="A6" t="e">
        <f>#REF!</f>
        <v>#REF!</v>
      </c>
      <c r="B6">
        <v>1</v>
      </c>
      <c r="C6">
        <v>1</v>
      </c>
      <c r="D6">
        <v>5</v>
      </c>
      <c r="E6">
        <v>0</v>
      </c>
      <c r="F6">
        <v>1001</v>
      </c>
    </row>
    <row r="7" spans="1:7" x14ac:dyDescent="0.25">
      <c r="A7" t="e">
        <f>#REF!</f>
        <v>#REF!</v>
      </c>
      <c r="B7">
        <v>1</v>
      </c>
      <c r="C7">
        <v>2</v>
      </c>
      <c r="D7">
        <v>0</v>
      </c>
      <c r="E7">
        <v>0</v>
      </c>
      <c r="F7">
        <v>1007</v>
      </c>
    </row>
    <row r="8" spans="1:7" x14ac:dyDescent="0.25">
      <c r="A8" t="e">
        <f>#REF!</f>
        <v>#REF!</v>
      </c>
      <c r="B8">
        <v>1</v>
      </c>
      <c r="C8">
        <v>3</v>
      </c>
      <c r="D8">
        <v>0</v>
      </c>
      <c r="E8">
        <v>0</v>
      </c>
      <c r="F8">
        <v>1002</v>
      </c>
    </row>
    <row r="9" spans="1:7" x14ac:dyDescent="0.25">
      <c r="A9" t="e">
        <f>#REF!</f>
        <v>#REF!</v>
      </c>
      <c r="B9">
        <v>1</v>
      </c>
      <c r="C9">
        <v>3</v>
      </c>
      <c r="D9">
        <v>1</v>
      </c>
      <c r="E9">
        <v>0</v>
      </c>
      <c r="F9">
        <v>1002</v>
      </c>
    </row>
    <row r="10" spans="1:7" x14ac:dyDescent="0.25">
      <c r="A10" t="e">
        <f>#REF!</f>
        <v>#REF!</v>
      </c>
      <c r="B10">
        <v>1</v>
      </c>
      <c r="C10">
        <v>3</v>
      </c>
      <c r="D10">
        <v>2</v>
      </c>
      <c r="E10">
        <v>0</v>
      </c>
      <c r="F10">
        <v>1002</v>
      </c>
    </row>
    <row r="11" spans="1:7" x14ac:dyDescent="0.25">
      <c r="A11" t="e">
        <f>#REF!</f>
        <v>#REF!</v>
      </c>
      <c r="B11">
        <v>1</v>
      </c>
      <c r="C11">
        <v>4</v>
      </c>
      <c r="D11">
        <v>0</v>
      </c>
      <c r="E11">
        <v>0</v>
      </c>
      <c r="F11">
        <v>1007</v>
      </c>
    </row>
    <row r="12" spans="1:7" x14ac:dyDescent="0.25">
      <c r="A12" t="e">
        <f>#REF!</f>
        <v>#REF!</v>
      </c>
      <c r="B12">
        <v>1</v>
      </c>
      <c r="C12">
        <v>5</v>
      </c>
      <c r="D12">
        <v>0</v>
      </c>
      <c r="E12">
        <v>0</v>
      </c>
      <c r="F12">
        <v>1003</v>
      </c>
    </row>
    <row r="13" spans="1:7" x14ac:dyDescent="0.25">
      <c r="A13" t="e">
        <f>#REF!</f>
        <v>#REF!</v>
      </c>
      <c r="B13">
        <v>1</v>
      </c>
      <c r="C13">
        <v>5</v>
      </c>
      <c r="D13">
        <v>1</v>
      </c>
      <c r="E13">
        <v>0</v>
      </c>
      <c r="F13">
        <v>1003</v>
      </c>
    </row>
    <row r="14" spans="1:7" x14ac:dyDescent="0.25">
      <c r="A14" t="e">
        <f>#REF!</f>
        <v>#REF!</v>
      </c>
      <c r="B14">
        <v>1</v>
      </c>
      <c r="C14">
        <v>5</v>
      </c>
      <c r="D14">
        <v>2</v>
      </c>
      <c r="E14">
        <v>0</v>
      </c>
      <c r="F14">
        <v>1003</v>
      </c>
    </row>
    <row r="15" spans="1:7" x14ac:dyDescent="0.25">
      <c r="A15" t="e">
        <f>#REF!</f>
        <v>#REF!</v>
      </c>
      <c r="B15">
        <v>1</v>
      </c>
      <c r="C15">
        <v>6</v>
      </c>
      <c r="D15">
        <v>0</v>
      </c>
      <c r="E15">
        <v>0</v>
      </c>
      <c r="F15">
        <v>1004</v>
      </c>
    </row>
    <row r="16" spans="1:7" x14ac:dyDescent="0.25">
      <c r="A16" t="e">
        <f>#REF!</f>
        <v>#REF!</v>
      </c>
      <c r="B16">
        <v>1</v>
      </c>
      <c r="C16">
        <v>6</v>
      </c>
      <c r="D16">
        <v>1</v>
      </c>
      <c r="E16">
        <v>0</v>
      </c>
      <c r="F16">
        <v>1004</v>
      </c>
    </row>
    <row r="17" spans="1:6" x14ac:dyDescent="0.25">
      <c r="A17" t="e">
        <f>#REF!</f>
        <v>#REF!</v>
      </c>
      <c r="B17">
        <v>1</v>
      </c>
      <c r="C17">
        <v>7</v>
      </c>
      <c r="D17">
        <v>0</v>
      </c>
      <c r="E17">
        <v>0</v>
      </c>
      <c r="F17">
        <v>1005</v>
      </c>
    </row>
    <row r="18" spans="1:6" x14ac:dyDescent="0.25">
      <c r="A18" t="e">
        <f>#REF!</f>
        <v>#REF!</v>
      </c>
      <c r="B18">
        <v>1</v>
      </c>
      <c r="C18">
        <v>7</v>
      </c>
      <c r="D18">
        <v>1</v>
      </c>
      <c r="E18">
        <v>0</v>
      </c>
      <c r="F18">
        <v>1005</v>
      </c>
    </row>
    <row r="19" spans="1:6" x14ac:dyDescent="0.25">
      <c r="A19" t="e">
        <f>#REF!</f>
        <v>#REF!</v>
      </c>
      <c r="B19">
        <v>1</v>
      </c>
      <c r="C19">
        <v>8</v>
      </c>
      <c r="D19">
        <v>0</v>
      </c>
      <c r="E19">
        <v>0</v>
      </c>
      <c r="F19">
        <v>1006</v>
      </c>
    </row>
    <row r="20" spans="1:6" x14ac:dyDescent="0.25">
      <c r="A20" t="e">
        <f>#REF!</f>
        <v>#REF!</v>
      </c>
      <c r="B20">
        <v>1</v>
      </c>
      <c r="C20">
        <v>9</v>
      </c>
      <c r="D20">
        <v>0</v>
      </c>
      <c r="E20">
        <v>0</v>
      </c>
      <c r="F20">
        <v>3000</v>
      </c>
    </row>
    <row r="21" spans="1:6" x14ac:dyDescent="0.25">
      <c r="A21" t="e">
        <f>#REF!</f>
        <v>#REF!</v>
      </c>
      <c r="B21">
        <v>1</v>
      </c>
      <c r="C21">
        <v>9</v>
      </c>
      <c r="D21">
        <v>2</v>
      </c>
      <c r="E21">
        <v>0</v>
      </c>
      <c r="F21">
        <v>3000</v>
      </c>
    </row>
    <row r="22" spans="1:6" x14ac:dyDescent="0.25">
      <c r="A22" t="e">
        <f>#REF!</f>
        <v>#REF!</v>
      </c>
      <c r="B22">
        <v>1</v>
      </c>
      <c r="C22">
        <v>9</v>
      </c>
      <c r="D22">
        <v>3</v>
      </c>
      <c r="E22">
        <v>0</v>
      </c>
      <c r="F22">
        <v>3000</v>
      </c>
    </row>
    <row r="23" spans="1:6" x14ac:dyDescent="0.25">
      <c r="A23" t="e">
        <f>#REF!</f>
        <v>#REF!</v>
      </c>
      <c r="B23">
        <v>1</v>
      </c>
      <c r="C23">
        <v>9</v>
      </c>
      <c r="D23">
        <v>4</v>
      </c>
      <c r="E23">
        <v>0</v>
      </c>
      <c r="F23">
        <v>3000</v>
      </c>
    </row>
    <row r="24" spans="1:6" x14ac:dyDescent="0.25">
      <c r="A24" t="e">
        <f>#REF!</f>
        <v>#REF!</v>
      </c>
      <c r="B24">
        <v>1</v>
      </c>
      <c r="C24">
        <v>9</v>
      </c>
      <c r="D24">
        <v>5</v>
      </c>
      <c r="E24">
        <v>0</v>
      </c>
      <c r="F24">
        <v>3000</v>
      </c>
    </row>
    <row r="25" spans="1:6" x14ac:dyDescent="0.25">
      <c r="A25" t="e">
        <f>#REF!</f>
        <v>#REF!</v>
      </c>
      <c r="B25">
        <v>1</v>
      </c>
      <c r="C25">
        <v>9</v>
      </c>
      <c r="D25">
        <v>6</v>
      </c>
      <c r="E25">
        <v>0</v>
      </c>
      <c r="F25">
        <v>3000</v>
      </c>
    </row>
    <row r="26" spans="1:6" x14ac:dyDescent="0.25">
      <c r="A26" t="e">
        <f>#REF!</f>
        <v>#REF!</v>
      </c>
      <c r="B26">
        <v>1</v>
      </c>
      <c r="C26">
        <v>17</v>
      </c>
      <c r="D26">
        <v>1</v>
      </c>
      <c r="E26">
        <v>0</v>
      </c>
      <c r="F26">
        <v>3002</v>
      </c>
    </row>
    <row r="27" spans="1:6" x14ac:dyDescent="0.25">
      <c r="A27" t="e">
        <f>#REF!</f>
        <v>#REF!</v>
      </c>
      <c r="B27">
        <v>1</v>
      </c>
      <c r="C27">
        <v>17</v>
      </c>
      <c r="D27">
        <v>2</v>
      </c>
      <c r="E27">
        <v>0</v>
      </c>
      <c r="F27">
        <v>3002</v>
      </c>
    </row>
    <row r="28" spans="1:6" x14ac:dyDescent="0.25">
      <c r="A28" s="3" t="e">
        <f>#REF!</f>
        <v>#REF!</v>
      </c>
      <c r="B28">
        <v>1</v>
      </c>
      <c r="C28">
        <v>17</v>
      </c>
      <c r="D28">
        <v>11</v>
      </c>
      <c r="E28">
        <v>0</v>
      </c>
      <c r="F28">
        <v>3002</v>
      </c>
    </row>
    <row r="29" spans="1:6" x14ac:dyDescent="0.25">
      <c r="A29" t="e">
        <f>#REF!</f>
        <v>#REF!</v>
      </c>
      <c r="B29">
        <v>1</v>
      </c>
      <c r="C29">
        <v>17</v>
      </c>
      <c r="D29">
        <v>7</v>
      </c>
      <c r="E29">
        <v>0</v>
      </c>
      <c r="F29">
        <v>3002</v>
      </c>
    </row>
    <row r="30" spans="1:6" x14ac:dyDescent="0.25">
      <c r="A30" t="e">
        <f>#REF!</f>
        <v>#REF!</v>
      </c>
      <c r="B30">
        <v>1</v>
      </c>
      <c r="C30">
        <v>12</v>
      </c>
      <c r="D30">
        <v>2</v>
      </c>
      <c r="E30">
        <v>0</v>
      </c>
      <c r="F30">
        <v>3003</v>
      </c>
    </row>
    <row r="31" spans="1:6" x14ac:dyDescent="0.25">
      <c r="A31" t="e">
        <f>#REF!</f>
        <v>#REF!</v>
      </c>
      <c r="B31">
        <v>1</v>
      </c>
      <c r="C31">
        <v>14</v>
      </c>
      <c r="D31">
        <v>0</v>
      </c>
      <c r="E31">
        <v>0</v>
      </c>
      <c r="F31">
        <v>3001</v>
      </c>
    </row>
    <row r="32" spans="1:6" x14ac:dyDescent="0.25">
      <c r="A32" t="e">
        <f>#REF!</f>
        <v>#REF!</v>
      </c>
      <c r="B32">
        <v>1</v>
      </c>
      <c r="C32">
        <v>14</v>
      </c>
      <c r="D32">
        <v>1</v>
      </c>
      <c r="E32">
        <v>0</v>
      </c>
      <c r="F32">
        <v>3001</v>
      </c>
    </row>
    <row r="33" spans="1:6" x14ac:dyDescent="0.25">
      <c r="A33" t="e">
        <f>#REF!</f>
        <v>#REF!</v>
      </c>
      <c r="B33">
        <v>1</v>
      </c>
      <c r="C33">
        <v>14</v>
      </c>
      <c r="D33">
        <v>3</v>
      </c>
      <c r="E33">
        <v>0</v>
      </c>
      <c r="F33">
        <v>3001</v>
      </c>
    </row>
    <row r="34" spans="1:6" x14ac:dyDescent="0.25">
      <c r="A34" t="e">
        <f>#REF!</f>
        <v>#REF!</v>
      </c>
      <c r="B34">
        <v>1</v>
      </c>
      <c r="C34">
        <v>15</v>
      </c>
      <c r="D34">
        <v>0</v>
      </c>
      <c r="E34">
        <v>0</v>
      </c>
      <c r="F34">
        <v>3002</v>
      </c>
    </row>
    <row r="35" spans="1:6" x14ac:dyDescent="0.25">
      <c r="A35" t="e">
        <f>#REF!</f>
        <v>#REF!</v>
      </c>
      <c r="B35">
        <v>1</v>
      </c>
      <c r="C35">
        <v>15</v>
      </c>
      <c r="D35">
        <v>1</v>
      </c>
      <c r="E35">
        <v>0</v>
      </c>
      <c r="F35">
        <v>3002</v>
      </c>
    </row>
    <row r="36" spans="1:6" x14ac:dyDescent="0.25">
      <c r="A36" t="e">
        <f>#REF!</f>
        <v>#REF!</v>
      </c>
      <c r="B36">
        <v>1</v>
      </c>
      <c r="C36">
        <v>15</v>
      </c>
      <c r="D36">
        <v>3</v>
      </c>
      <c r="E36">
        <v>0</v>
      </c>
      <c r="F36">
        <v>3002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2п</vt:lpstr>
      <vt:lpstr>SMW_Служебная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Bobos</dc:creator>
  <cp:lastModifiedBy>Роотси Елена Вениаминовна</cp:lastModifiedBy>
  <cp:lastPrinted>2015-07-23T06:24:05Z</cp:lastPrinted>
  <dcterms:created xsi:type="dcterms:W3CDTF">2013-07-14T08:36:19Z</dcterms:created>
  <dcterms:modified xsi:type="dcterms:W3CDTF">2016-09-28T13:33:26Z</dcterms:modified>
</cp:coreProperties>
</file>