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ОБЩАЯ ПАПКА ОБМЕНА\ДЕПАРТАМЕНТ КАПИТАЛЬНОГО РЕМОНТА\ПРОЕКТНО-СМЕТНЫЙ\Краткосрочка 2016\КрП 2016г\Сметы на ПИР по районам\Волховский\"/>
    </mc:Choice>
  </mc:AlternateContent>
  <bookViews>
    <workbookView xWindow="1935" yWindow="555" windowWidth="17400" windowHeight="11025"/>
  </bookViews>
  <sheets>
    <sheet name="Форма 2п (2)" sheetId="4" r:id="rId1"/>
    <sheet name="SMW_Служебная" sheetId="2" state="hidden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8" i="4" l="1"/>
  <c r="Q167" i="4" s="1"/>
  <c r="M166" i="4"/>
  <c r="Q165" i="4" s="1"/>
  <c r="M204" i="4"/>
  <c r="Q203" i="4" s="1"/>
  <c r="M202" i="4"/>
  <c r="Q201" i="4" s="1"/>
  <c r="Q205" i="4" s="1"/>
  <c r="M198" i="4"/>
  <c r="Q197" i="4" s="1"/>
  <c r="M196" i="4"/>
  <c r="Q195" i="4" s="1"/>
  <c r="M194" i="4"/>
  <c r="Q193" i="4" s="1"/>
  <c r="M192" i="4"/>
  <c r="Q191" i="4" s="1"/>
  <c r="M190" i="4"/>
  <c r="Q189" i="4" s="1"/>
  <c r="M188" i="4"/>
  <c r="Q187" i="4" s="1"/>
  <c r="M186" i="4"/>
  <c r="Q185" i="4" s="1"/>
  <c r="M184" i="4"/>
  <c r="Q183" i="4" s="1"/>
  <c r="M182" i="4"/>
  <c r="Q181" i="4" s="1"/>
  <c r="M180" i="4"/>
  <c r="Q179" i="4" s="1"/>
  <c r="M178" i="4"/>
  <c r="Q177" i="4" s="1"/>
  <c r="M176" i="4"/>
  <c r="Q175" i="4" s="1"/>
  <c r="M174" i="4"/>
  <c r="Q173" i="4" s="1"/>
  <c r="M172" i="4"/>
  <c r="Q171" i="4" s="1"/>
  <c r="M170" i="4"/>
  <c r="Q169" i="4" s="1"/>
  <c r="M162" i="4"/>
  <c r="Q161" i="4" s="1"/>
  <c r="M160" i="4"/>
  <c r="Q159" i="4" s="1"/>
  <c r="M158" i="4"/>
  <c r="Q157" i="4" s="1"/>
  <c r="M156" i="4"/>
  <c r="Q155" i="4" s="1"/>
  <c r="M154" i="4"/>
  <c r="Q153" i="4" s="1"/>
  <c r="M152" i="4"/>
  <c r="Q151" i="4" s="1"/>
  <c r="M150" i="4"/>
  <c r="Q149" i="4" s="1"/>
  <c r="M148" i="4"/>
  <c r="Q147" i="4" s="1"/>
  <c r="M146" i="4"/>
  <c r="Q145" i="4" s="1"/>
  <c r="M144" i="4"/>
  <c r="Q143" i="4" s="1"/>
  <c r="M142" i="4"/>
  <c r="Q141" i="4" s="1"/>
  <c r="M140" i="4"/>
  <c r="Q139" i="4" s="1"/>
  <c r="M136" i="4"/>
  <c r="Q135" i="4" s="1"/>
  <c r="M134" i="4"/>
  <c r="Q133" i="4" s="1"/>
  <c r="M132" i="4"/>
  <c r="Q131" i="4" s="1"/>
  <c r="M130" i="4"/>
  <c r="Q129" i="4" s="1"/>
  <c r="M128" i="4"/>
  <c r="Q127" i="4" s="1"/>
  <c r="M126" i="4"/>
  <c r="Q125" i="4" s="1"/>
  <c r="M124" i="4"/>
  <c r="Q123" i="4" s="1"/>
  <c r="M122" i="4"/>
  <c r="Q121" i="4" s="1"/>
  <c r="M120" i="4"/>
  <c r="Q119" i="4" s="1"/>
  <c r="Q137" i="4" s="1"/>
  <c r="M116" i="4"/>
  <c r="Q115" i="4" s="1"/>
  <c r="M114" i="4"/>
  <c r="Q113" i="4" s="1"/>
  <c r="M112" i="4"/>
  <c r="Q111" i="4" s="1"/>
  <c r="M110" i="4"/>
  <c r="Q109" i="4" s="1"/>
  <c r="M108" i="4"/>
  <c r="Q107" i="4" s="1"/>
  <c r="M106" i="4"/>
  <c r="Q105" i="4" s="1"/>
  <c r="M104" i="4"/>
  <c r="Q103" i="4" s="1"/>
  <c r="M100" i="4"/>
  <c r="Q99" i="4" s="1"/>
  <c r="M98" i="4"/>
  <c r="Q97" i="4" s="1"/>
  <c r="M94" i="4"/>
  <c r="Q93" i="4" s="1"/>
  <c r="M92" i="4"/>
  <c r="Q91" i="4" s="1"/>
  <c r="Q95" i="4" s="1"/>
  <c r="M68" i="4"/>
  <c r="Q67" i="4" s="1"/>
  <c r="Q69" i="4" s="1"/>
  <c r="A36" i="2"/>
  <c r="A35" i="2"/>
  <c r="A34" i="2"/>
  <c r="A33" i="2"/>
  <c r="A32" i="2"/>
  <c r="A31" i="2"/>
  <c r="A30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29" i="2"/>
  <c r="Q117" i="4" l="1"/>
  <c r="Q163" i="4"/>
  <c r="Q208" i="4"/>
  <c r="Q210" i="4" s="1"/>
  <c r="C14" i="4" s="1"/>
  <c r="A32" i="4" s="1"/>
  <c r="Q199" i="4"/>
  <c r="Q101" i="4"/>
</calcChain>
</file>

<file path=xl/sharedStrings.xml><?xml version="1.0" encoding="utf-8"?>
<sst xmlns="http://schemas.openxmlformats.org/spreadsheetml/2006/main" count="277" uniqueCount="216">
  <si>
    <t>Смета1</t>
  </si>
  <si>
    <t>Форма № 2п</t>
  </si>
  <si>
    <t>Приложение к</t>
  </si>
  <si>
    <t>(договору, дополнительному соглашению)</t>
  </si>
  <si>
    <t>от</t>
  </si>
  <si>
    <t>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</si>
  <si>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</si>
  <si>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</si>
  <si>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стоимости:(a+bx)*Kj или (объем строительно-монтажных работ)* проц.</t>
  </si>
  <si>
    <t>Стоимость</t>
  </si>
  <si>
    <t>100 или количество * цена</t>
  </si>
  <si>
    <t>[подпись (инициалы,фамилия)]</t>
  </si>
  <si>
    <t>Составитель сметы</t>
  </si>
  <si>
    <t xml:space="preserve">Наименование предприятия, здания, сооружения, стадии проектирования, этапа, вида </t>
  </si>
  <si>
    <t>Тыс.руб</t>
  </si>
  <si>
    <t>РНиП 4.05.01-93</t>
  </si>
  <si>
    <t>Всего по смете-калькуляции (в тыс.рублей):</t>
  </si>
  <si>
    <t>СОГЛАСОВАНО (ГОСОРГАН)</t>
  </si>
  <si>
    <t>М.П.</t>
  </si>
  <si>
    <t>"_____" ______________ 2014г.</t>
  </si>
  <si>
    <t>СОГЛАСОВАНО (ПОЛЬЗОВАТЕЛЬ)</t>
  </si>
  <si>
    <t xml:space="preserve">"Утвержден" </t>
  </si>
  <si>
    <t>"_____" ______________ 20 ___ г.</t>
  </si>
  <si>
    <t xml:space="preserve">в сумме: </t>
  </si>
  <si>
    <t>тыс. руб.</t>
  </si>
  <si>
    <t xml:space="preserve">в том числе возвраьных сумм: </t>
  </si>
  <si>
    <t>(ссылка на документ об утверждении)</t>
  </si>
  <si>
    <t>(наименование объекта культурного наследия)</t>
  </si>
  <si>
    <t>Составлена в текущих ценах согласно Письму Министерства культуры РФ от 20 декабря 2011 г. № 107-01-39/10-КЧ</t>
  </si>
  <si>
    <t>НДС не облагается - Статья 149 Налогового кодекса РФ (подп. 15 п. 2):</t>
  </si>
  <si>
    <t>Итого по разделу №1:</t>
  </si>
  <si>
    <t>Итого по смете:</t>
  </si>
  <si>
    <t xml:space="preserve">Наименование проектной (изыскательской) организации: </t>
  </si>
  <si>
    <t xml:space="preserve">Наименование организации заказчика: </t>
  </si>
  <si>
    <t>Главный инженер проекта:</t>
  </si>
  <si>
    <t>Состав предварительных работ:</t>
  </si>
  <si>
    <t>Ознакомление с «Заданием», предъявленной «Заказчиком» документацией и с памятником в натуре</t>
  </si>
  <si>
    <t>Определение физического объема памятника</t>
  </si>
  <si>
    <t>Составление актов технического состояния и утрат первоначального облика</t>
  </si>
  <si>
    <t>Предварительное инженерное заключение и рекомендации</t>
  </si>
  <si>
    <t>Краткие историко-архивные и библиографические сведения</t>
  </si>
  <si>
    <t>Предварительные соображения по намечаемым реставрационным работам</t>
  </si>
  <si>
    <t>Программа научно-проектных работ</t>
  </si>
  <si>
    <t>Смета-калькуляция стоимости научно-проектных работ</t>
  </si>
  <si>
    <t>Таблица 1.2, п.3, графы 3-10; Пояснения, п.4: К=1,3 к графам 3-6.</t>
  </si>
  <si>
    <t>ПРЕДВАРИТЕЛЬНЫЕ РАБОТЫ. Измеритель: памятник.  (1,29*1,3+2,41*1,3+3,4*1,3+4,42*1,3+2,97+1,83+2,36+0,94)*2592</t>
  </si>
  <si>
    <t>Ц=1*(1,29*1,3+2,41*1,3+3,4*1,3+4,42*1,3+2,97+1,83+2,36+0,94)*2592/1000</t>
  </si>
  <si>
    <t xml:space="preserve">№1. Предварительные работы </t>
  </si>
  <si>
    <r>
      <t xml:space="preserve">Исходные данные: Здание, ориентировочно: </t>
    </r>
    <r>
      <rPr>
        <u/>
        <sz val="10"/>
        <color rgb="FFFF0000"/>
        <rFont val="Times New Roman"/>
        <family val="1"/>
        <charset val="204"/>
      </rPr>
      <t>V=1775,61 куб.м.</t>
    </r>
    <r>
      <rPr>
        <sz val="10"/>
        <color theme="1"/>
        <rFont val="Times New Roman"/>
        <family val="1"/>
        <charset val="204"/>
      </rPr>
      <t>; II категория сложности; Письмо Министерства культуры РФ от 20 декабря 2011 г. № 107-01-39/10-КЧ: К=4.; п.1.5; Письмо Министерства культуры РФ от 13.11.1998 г. № 01-211/16-14: Стоимость чел.дня 540 рублей; п.1.5. РНиП 4.05.01-93: К=1,2. Стоимость чел. дня в текущих ценах: 540*4*1,2=2592 рубля.</t>
    </r>
  </si>
  <si>
    <t>Таблица 1.3, п.1(II); Пояснения, п.2б: К=1,4</t>
  </si>
  <si>
    <t>ИСТОРИКО-АРХИВНЫЕ И БИБЛИОГРАФИЧЕСКИЕ ИССЛЕДОВАНИЯ И ИСТОРИЧЕСКИЕ ЗАПИСКИ. Историко-архивные и библиографические исследования. Измеритель: памятник.  77,61*1,4*2592</t>
  </si>
  <si>
    <t>Ц=1*77,61*1,4*2592/1000</t>
  </si>
  <si>
    <t>Таблица 1.3, п.2(II)</t>
  </si>
  <si>
    <t>ИСТОРИКО-АРХИВНЫЕ И БИБЛИОГРАФИЧЕСКИЕ ИССЛЕДОВАНИЯ И ИСТОРИЧЕСКИЕ ЗАПИСКИ. Историческая записка на основе опубликованных материалов. Измеритель: памятник.  20,55*1,4*2592</t>
  </si>
  <si>
    <t>Ц=1*20,55*2592/1000</t>
  </si>
  <si>
    <t>Фотофиксация. 13х18. Измеритель: негатив, отпечаток.  (0,33+4*0,167)*2592</t>
  </si>
  <si>
    <t>Ц=1*(0,33+4*0,167)*2592/1000</t>
  </si>
  <si>
    <t>Таблица 6.4, п.5, графы 3,5; Пояснения, п.1: К=0,5</t>
  </si>
  <si>
    <t>СЦНПР-91</t>
  </si>
  <si>
    <t>Таблица 1-22, п.5; Прим., п.1</t>
  </si>
  <si>
    <t>Ц=1*(78+16*(70-20)/5)*14,6*4/1000</t>
  </si>
  <si>
    <t>Альбом фотоиллюстраций с подбором наклейкой, компоновкой и составлением кратких аннотаций, включающих в себя до 20 фотографий. Измеритель: Альбом до 5 экз.  (78+16*(70-20)/5)*14,6*4</t>
  </si>
  <si>
    <t>Таблица 1.4, п.4(II); Пояснения, п.9; Пояснения, п.2: К=0,6; О.Ч., Прил.4, п.1: К=1,2 к полевым работам.</t>
  </si>
  <si>
    <t>Таблица 1.5, п.4(II); Пояснения, п.9; Пояснения, п.2: К=0,6; О.Ч., Прил.4, п.5: К=1,3 к полевым работам.</t>
  </si>
  <si>
    <t>АРХИТЕКТУРНЫЕ ОБМЕРЫ ПАМЯТНИКА В ЦЕЛОМ - ПЛАНЫ. Измеритель: памятник.  (10,62*0,526*1,2+10,62*0,474)*0,6*2592</t>
  </si>
  <si>
    <t>Ц=1*(10,62*0,526*1,2+10,62*0,474)*0,6*2592/1000</t>
  </si>
  <si>
    <t>АРХИТЕКТУРНЫЕ ОБМЕРЫ ПАМЯТНИКА В ЦЕЛОМ - ФАСАДЫ. Измеритель: памятник.  (11,98*0,526*1,3+11,98*0,474)*0,6*2592</t>
  </si>
  <si>
    <t>Ц=1*(11,98*0,526*1,3+11,98*0,474)*0,6*2592/1000</t>
  </si>
  <si>
    <t>Таблица 1.6, п.4(II); Пояснения, п.9; Пояснения, п.2: К=0,6; О.Ч., Прил.4, п.5: К=1,3 к полевым работам.</t>
  </si>
  <si>
    <t>АРХИТЕКТУРНЫЕ ОБМЕРЫ ПАМЯТНИКА В ЦЕЛОМ - РАЗРЕЗЫ. Измеритель: памятник.  (5,18*0,526*1,3+5,18*0,474)*0,6*2592</t>
  </si>
  <si>
    <t>Ц=1*(5,18*0,526*1,3+5,18*0,474)*0,6*2592/1000</t>
  </si>
  <si>
    <t>Таблица 1.7, п.1(II); Пояснения, п.9; Пояснения, п.2: К=0,6; О.Ч., Прил.4, п.5: К=1,3 к полевым работам.</t>
  </si>
  <si>
    <t>Ц=1*(0,47*0,526*1,3+0,47*0,474)*0,6*2592/1000</t>
  </si>
  <si>
    <t>Таблица 1.7, п.2(II); Пояснения, п.9; Пояснения, п.2: К=0,6; О.Ч., Прил.4, п.5: К=1,3 к полевым работам.</t>
  </si>
  <si>
    <t>Ц=1*(0,28*0,526*1,3+0,28*0,474)*0,6*2592/1000</t>
  </si>
  <si>
    <t>АРХИТЕКТУРНЫЕ ОБМЕРЫ КОНСТРУКЦИЙ ПАМЯТНИКА. Общий вид конструкций. 
 Измеритель: форматка. Масштаб 1:50  1*(0,47*0,526*1,3+0,47*0,474)*0,6*2592</t>
  </si>
  <si>
    <t>АРХИТЕКТУРНЫЕ ОБМЕРЫ КОНСТРУКЦИЙ ПАМЯТНИКА. Детали. 
 Измеритель: форматка. Масштаб 1:10  1*(0,28*0,526*1,3+0,28*0,474)*0,6*2592</t>
  </si>
  <si>
    <t>Таблица 1.8, п.2(II); Пояснения, п.9; Пояснения, п.2: К=0,6; О.Ч., Прил.4, п.5: К=1,3 к полевым работам.</t>
  </si>
  <si>
    <t>АРХИТЕКТУРНЫЕ ОБМЕРЫ ЧАСТЕЙ И ЭЛЕМЕНТОВ ПАМЯТНИКА. Фрагменты планов, фасадов, разрезов; развертки стен. 
 Измеритель: форматка. Масштаб 1:20  1*(1,25*0,526*1,3+1,25*0,474)*0,6*2592</t>
  </si>
  <si>
    <t>Ц=1*(1,25*0,526*1,3+1,25*0,474)*0,6*2592/1000</t>
  </si>
  <si>
    <t>АРХИТЕКТУРНЫЕ ОБМЕРЫ ЧАСТЕЙ И ЭЛЕМЕНТОВ ПАМЯТНИКА. Шаблоны. 
 Измеритель: форматка. Масштаб 1:1  1*(0,51*0,526*1,3+0,51*0,474)*0,6*2592</t>
  </si>
  <si>
    <t>Ц=1*(0,51*0,526*1,3+0,51*0,474)*0,6*2592/1000</t>
  </si>
  <si>
    <t>№2. Историко-архивные и библиографические исследования.</t>
  </si>
  <si>
    <t>Итого по разделу №2:</t>
  </si>
  <si>
    <t>№3. Фотофиксация.</t>
  </si>
  <si>
    <t>Итого по разделу №3:</t>
  </si>
  <si>
    <t>№4. Архитектурные обмеры</t>
  </si>
  <si>
    <t>Итого по разделу №4:</t>
  </si>
  <si>
    <t xml:space="preserve">СБЦ. ИНЖЕНЕРНО-ГЕОДЕЗИЧЕСКИЕ ИЗЫСКАНИЯ ПРИ
СТРОИТЕЛЬСТВЕ И ЭКСПЛУАТАЦИИ ЗДАНИЙ
И СООРУЖЕНИЙ
</t>
  </si>
  <si>
    <t>Глава 2, таблица 9, п.6(III)</t>
  </si>
  <si>
    <t>Ц=1*(146+84)*3,79/1000</t>
  </si>
  <si>
    <t>Нивелировка цоколя 
 Измеритель: шт. 1*(146+84)*3,79</t>
  </si>
  <si>
    <t>Глава 5, Таблица 31, п.4; Примеч.: К=1,5</t>
  </si>
  <si>
    <t>Ц=1*362*1,5*3,79/1000</t>
  </si>
  <si>
    <t>Обмеры трубопроводов различного назначения. 30 участков - от тройника до тройника, от тройника до прибора.
 Измеритель: 10 участков трубопровода. 1*362*1,5*3,79</t>
  </si>
  <si>
    <t>Глава 8, Таблица 50, п.1;</t>
  </si>
  <si>
    <t>Ц=1*63*3,79/1000</t>
  </si>
  <si>
    <t>Составление планов разрезов и схем расположения трубопроводов по готовым зарисовкам и эскизам с увязкой всех размеров.
 Измеритель: 10 участков трубопровода. 1*63*3,79</t>
  </si>
  <si>
    <t>Составление планов разрезов и схем расположения трубопроводов по готовым зарисовкам и эскизам с увязкой всех размеров.
 Измеритель: 10 систем. 1*63*3,79</t>
  </si>
  <si>
    <t>Глава 5, Таблица 31, п.1; Примечания: К=1,5</t>
  </si>
  <si>
    <t>Ц=1*242*1,5*3,79/1000</t>
  </si>
  <si>
    <t>Обмер внутренних вентканалов.
 Измеритель: 10 систем. 1*242*1,5*3,79</t>
  </si>
  <si>
    <t xml:space="preserve">Глава 1, Таблица 7, п.6; </t>
  </si>
  <si>
    <t>Ц=1*1277*3,79/1000</t>
  </si>
  <si>
    <t xml:space="preserve">Глава 2, Таблица 9, п.1(III); </t>
  </si>
  <si>
    <t>Ц=1*130*3,79/1000</t>
  </si>
  <si>
    <t>Рекогносцировка мест постановки нивелира и реек.
 Измеритель: Станция. 1*130*3,79</t>
  </si>
  <si>
    <t xml:space="preserve">Глава 2, Таблица 9, п.6(III); </t>
  </si>
  <si>
    <t>Нивелировка перекрытий.
 Измеритель: Шт. 1*(146+84)*3,79</t>
  </si>
  <si>
    <t xml:space="preserve">Глава 2, Таблица 9, п.15(III); </t>
  </si>
  <si>
    <t>Ц=1*(502+267)*3,79/1000</t>
  </si>
  <si>
    <t>Текущие наблюдения наклонов различных (по высоте) сечений сооружения. Определение вертикальности.
 Измеритель: Сечение. 1*(502+267)*3,79</t>
  </si>
  <si>
    <t xml:space="preserve">СБЦ. ИНЖЕНЕРНО-ГЕОДЕЗИЧЕСКИЕ ИЗЫСКАНИЯ. М.2004
</t>
  </si>
  <si>
    <t>Таблица 9, п.3; Примечания, п.1: К=2; п.3: К=0,5.</t>
  </si>
  <si>
    <t>Ц=1*4991*2*0,5*3,79/1000</t>
  </si>
  <si>
    <t>Создание планово-высотной съемочной основы территории (обновление) М 1:200. Полевые работы.
 Измеритель: Га. 1*4991*2*0,5*3,79</t>
  </si>
  <si>
    <t>Ц=1*1692*2*0,5*3,79/1000</t>
  </si>
  <si>
    <t>Создание планово-высотной съемочной основы территории (обновление) М 1:200. Камеральные работы.
 Измеритель: Га. 1*1692*2*0,5*3,79</t>
  </si>
  <si>
    <t>Знаки, закладываемые в зданиях, сооружениях. Изготовление и установка (закладка) опорных (исходных) и рабочих (контрольных) геодезических знаков (реперы, марки).
 Измеритель: Знак. 1*1277*3,79</t>
  </si>
  <si>
    <t>Итого по разделу №5:</t>
  </si>
  <si>
    <t>№6. Геодезические работы.</t>
  </si>
  <si>
    <t>Транспортные расходы (от полевых работ).
 Измеритель: Работы. 1*(24*146*3,79/1000+6,174+41,641+1,651+67,76+17,748+36*146*3,79/1000+10*502*3,79/1000+9,458)*0,1875</t>
  </si>
  <si>
    <t>Таблица 4, п.6: 18,75%; Полевые работы: п.п. 1,2,4,7,8,9,10,11,12</t>
  </si>
  <si>
    <t>Ц=1*(24*146*3,79/1000+6,174+41,641+1,651+67,76+17,748+36*146*3,79/1000+10*502*3,79/1000+9,458)*0,1875</t>
  </si>
  <si>
    <t xml:space="preserve">СБЦ. Объекты жилищно-гражданского строительства 2010
</t>
  </si>
  <si>
    <t xml:space="preserve">СБЦ. Системы противопожарной и охранной защиты
</t>
  </si>
  <si>
    <t>Таблица 1.15, п.2(II); Пояснения, п.2: К=1,1</t>
  </si>
  <si>
    <t>Ц=1*37,35*1,1*540*1,2*4/1000</t>
  </si>
  <si>
    <t>СОСТАВЛЕНИЕ ТЕКСТОВЫХ МАТЕРИАЛОВ НАУЧНО-ПРОЕКТНОЙ ДОКУМЕНТАЦИИ. Пояснительная записка. (к проекту реставрации). 
 Измеритель: печатный лист.   1*37,35*1,1*540*1,2*4</t>
  </si>
  <si>
    <t>№5. Исследовательские работы.</t>
  </si>
  <si>
    <t>Итого по разделу №6:</t>
  </si>
  <si>
    <t>№7. Проектные работы.</t>
  </si>
  <si>
    <t>Таблица 1.10, п.1, Графа 4.</t>
  </si>
  <si>
    <t>ЗОНДАЖИ. 
 Измеритель: Зондаж.   1*0,54*2592</t>
  </si>
  <si>
    <t>Ц=1*0,54*2592/1000</t>
  </si>
  <si>
    <t>Таблица 1.10, п.2, Графа 4.</t>
  </si>
  <si>
    <t>ЗОНДАЖИ. Фиксация в масштабе 1:10 зондажу с составлением акта исследования.
 Измеритель: форматка.   1*0,9*2592</t>
  </si>
  <si>
    <t>Ц=1*0,9*2592/1000</t>
  </si>
  <si>
    <t>Таблица 1.11, п.1, Графа 4.</t>
  </si>
  <si>
    <t>ШУРФЫ. 
 Измеритель: Шурф.   1*2,17*2592</t>
  </si>
  <si>
    <t>Ц=1*2,17*2592/1000</t>
  </si>
  <si>
    <t>ШУРФЫ. Фиксация в масштабе 1:10 по шурфу с составлением акта исследования.
 Измеритель: форматка.   1*0,9*2592</t>
  </si>
  <si>
    <t>Таблица 1.13, п.4(II); Пояснения, п.1: К=1,3</t>
  </si>
  <si>
    <t>ИНЖЕНЕРНЫЕ ИССЛЕДОВАНИЯ ПАМЯТНИКА. 
 Измеритель: памятник.   1*24,75*1,3*2592</t>
  </si>
  <si>
    <t>Ц=1*24,75*1,3*2592/1000</t>
  </si>
  <si>
    <t xml:space="preserve">Таблица 1.14, п.4(II) </t>
  </si>
  <si>
    <t>ТЕХНОЛОГИЧЕСКИЕ ИССЛЕДОВАНИЯ ПО СТРОИТЕЛЬНЫМ И ОТДЕЛОЧНЫМ МАТЕРИАЛАМ. 
 Измеритель: памятник.   1*72,86*2592</t>
  </si>
  <si>
    <t>Ц=1*72,86*2592/1000</t>
  </si>
  <si>
    <t>Разработка технологий реставрации памятников. 
 Измеритель: Схема, этап.   1*(110+185*3)*0,7*14,6*4</t>
  </si>
  <si>
    <t>Ц=1*(110+185*3)*0,7*14,6*4/1000</t>
  </si>
  <si>
    <t>Таблица 7-18, п.1А, Б. (4 схемы по 3 этапа); Примечания, п.3: К=0,7.</t>
  </si>
  <si>
    <t>Таблица 1.15, п.1(II); Пояснения, п.2: К=1,1</t>
  </si>
  <si>
    <t>СОСТАВЛЕНИЕ ТЕКСТОВЫХ МАТЕРИАЛОВ НАУЧНО-ПРОЕКТНОЙ ДОКУМЕНТАЦИИ. Отчет по результатам исследований памятника. 
 Измеритель: печатный лист.   1*39,12*1,1*2592</t>
  </si>
  <si>
    <t>Ц=1*39,12*1,1*2592/1000</t>
  </si>
  <si>
    <t>Таблица 1.15, п.3(II); Пояснения, п.2: К=1,1</t>
  </si>
  <si>
    <t>СОСТАВЛЕНИЕ ТЕКСТОВЫХ МАТЕРИАЛОВ НАУЧНО-ПРОЕКТНОЙ ДОКУМЕНТАЦИИ. Рекомендации, технологические карты, научно-методические указания по реставрации памятника. 
 Измеритель: печатный лист.   1*53,28*1,1*2592</t>
  </si>
  <si>
    <t>Ц=1*53,28*1,1*2592/1000</t>
  </si>
  <si>
    <t>Таблица 1.16, п.4(II); Пояснения, п.1: К=1,25</t>
  </si>
  <si>
    <t>Ц=1*13,6*1,25*2592/1000</t>
  </si>
  <si>
    <t>Таблица 1.17, п.4(II); Пояснения, п.1: К=1,5</t>
  </si>
  <si>
    <t>Ц=1*11,96*1,5*2592/1000</t>
  </si>
  <si>
    <t>Таблица 1.18, п.4(II); Пояснения, п.1: К=1,4; п.3: К=1,1</t>
  </si>
  <si>
    <t>Ц=1*5,02*1,4*1,1*2592/1000</t>
  </si>
  <si>
    <t>АРХИТЕКТУРНЫЕ РЕШЕНИЯ ПРОЕКТА РЕСТАВРАЦИИ ПАМЯТНИКА В ЦЕЛОМ - РАЗРЕЗЫ.  
 Измеритель: памятник.   1*5,02*1,4*1,1*2592</t>
  </si>
  <si>
    <t>АРХИТЕКТУРНЫЕ РЕШЕНИЯ ПРОЕКТА РЕСТАВРАЦИИ ПАМЯТНИКА В ЦЕЛОМ - ФАСАДЫ.  
 Измеритель: памятник.   1*11,96*1,5*2592</t>
  </si>
  <si>
    <t>АРХИТЕКТУРНЫЕ РЕШЕНИЯ ПРОЕКТА РЕСТАВРАЦИИ ПАМЯТНИКА В ЦЕЛОМ - ПЛАНЫ.  
 Измеритель: памятник.   1*13,6*1,25*2592</t>
  </si>
  <si>
    <t>Таблица 1.19, п.4(II); Пояснения, п.1: К=1,38; п.2: К=1,8</t>
  </si>
  <si>
    <t>КОНСТРУКТИВНЫЕ РЕШЕНИЯ ПРОЕКТА РЕСТАВРАЦИИ ПАМЯТНИКА В ЦЕЛОМ.  
 Измеритель: памятник.   1*14,85*1,38*1,8*2592</t>
  </si>
  <si>
    <t>Ц=1*14,85*1,38*1,8*2592/1000</t>
  </si>
  <si>
    <t>Таблица 1.20, п.4(II); Пояснения, п.2: К=1,2</t>
  </si>
  <si>
    <t>ОСНОВНЫЕ РЕШЕНИЯ ПО ОРГАНИЗАЦИИ РЕСТАВРАЦИИ ПАМЯТНИКА.  
 Измеритель: памятник.   1*7,95*1,2*2592</t>
  </si>
  <si>
    <t>Ц=1*7,95*1,2*2592/1000</t>
  </si>
  <si>
    <t xml:space="preserve">Таблица 1.21, п.4(II); </t>
  </si>
  <si>
    <t>АРХИТЕКТУРНО-СТРОИТЕЛЬНЫЕ РАБОЧИЕ ЧЕРТЕЖИ ПО ПАМЯТНИКУ В ЦЕЛОМ - ПЛАНЫ.  
 Измеритель: памятник.   1*5,71*2592</t>
  </si>
  <si>
    <t>Ц=1*5,71*2592/1000</t>
  </si>
  <si>
    <t xml:space="preserve">Таблица 1.22, п.4(II); </t>
  </si>
  <si>
    <t>АРХИТЕКТУРНО-СТРОИТЕЛЬНЫЕ РАБОЧИЕ ЧЕРТЕЖИ ПО ПАМЯТНИКУ В ЦЕЛОМ - ФАСАДЫ.  
 Измеритель: памятник.   1*5,02*2592</t>
  </si>
  <si>
    <t>Ц=1*5,02*2592/1000</t>
  </si>
  <si>
    <t xml:space="preserve">Таблица 1.23, п.4(II); </t>
  </si>
  <si>
    <t>АРХИТЕКТУРНО-СТРОИТЕЛЬНЫЕ РАБОЧИЕ ЧЕРТЕЖИ ПО ПАМЯТНИКУ В ЦЕЛОМ - РАЗРЕЗЫ.  
 Измеритель: памятник.   1*2,11*2592</t>
  </si>
  <si>
    <t>Ц=1*2,11*2592/1000</t>
  </si>
  <si>
    <t>Таблица 1.24, п.1(II); Пояснения, п.1: К=1,25</t>
  </si>
  <si>
    <t>АРХИТЕКТУРНО-СТРОИТЕЛЬНЫЕ РАБОЧИЕ ЧЕРТЕЖИ ЧАСТЕЙ И ЭЛЕМЕНТОВ ПАМЯТНИКА. Фрагменты планов, фасадов, разрезов; развертки стен. Масштаб 1:20. 
 Измеритель: форматка.   1*0,77*1,25*2592</t>
  </si>
  <si>
    <t>Ц=1*0,77*1,25*2592/1000</t>
  </si>
  <si>
    <t>Таблица 1.24, п.2(II); Пояснения, п.1: К=1,25</t>
  </si>
  <si>
    <t>АРХИТЕКТУРНО-СТРОИТЕЛЬНЫЕ РАБОЧИЕ ЧЕРТЕЖИ ЧАСТЕЙ И ЭЛЕМЕНТОВ ПАМЯТНИКА. Архитектурные детали. Масштаб 1:10. 
 Измеритель: форматка.   1*0,46*1,25*2592</t>
  </si>
  <si>
    <t>Ц=1*0,46*1,25*2592/1000</t>
  </si>
  <si>
    <t>АРХИТЕКТУРНО-СТРОИТЕЛЬНЫЕ РАБОЧИЕ ЧЕРТЕЖИ ЧАСТЕЙ И ЭЛЕМЕНТОВ ПАМЯТНИКА. Декор. Масштаб 1:1. 
 Измеритель: форматка.   1*0,23*1,25*2592</t>
  </si>
  <si>
    <t>АРХИТЕКТУРНО-СТРОИТЕЛЬНЫЕ РАБОЧИЕ ЧЕРТЕЖИ ЧАСТЕЙ И ЭЛЕМЕНТОВ ПАМЯТНИКА. Шаблоны. Масштаб 1:1. 
 Измеритель: форматка.   1*0,18*1,5*2592</t>
  </si>
  <si>
    <t>Ц=1*0,18*1,5*2592/1000</t>
  </si>
  <si>
    <t>Таблица 1.24, п.5(II); Пояснения, п.1: К=1,5</t>
  </si>
  <si>
    <t>Таблица 1.24, п.4(II); Пояснения, п.1: К=2</t>
  </si>
  <si>
    <t>Итого по разделу №7:</t>
  </si>
  <si>
    <t>СОСТАВЛЕНИЕ ТЕКСТОВЫХ МАТЕРИАЛОВ НАУЧНО-ПРОЕКТНОЙ ДОКУМЕНТАЦИИ. Пояснительная записка. (к Рабочей документации). 
 Измеритель: печатный лист.   1*37,35*1,1*2592</t>
  </si>
  <si>
    <t>Ц=1*37,35*1,1*2592/1000</t>
  </si>
  <si>
    <t>Итого по разделу №8:</t>
  </si>
  <si>
    <t xml:space="preserve">проектных работ: Разработка научно-проектной документации </t>
  </si>
  <si>
    <t>Таблица 7.1, п.1, графа 5, Пояснения, п.3: К=0,8.</t>
  </si>
  <si>
    <t>Ц=1*1,03*0,8*2592/1000</t>
  </si>
  <si>
    <t>СМЕТНЫЕ РАБОТЫ. Реставрационные, реставрационно-восстановительные, консервационные работы. Опись работ (Дефектная ведомость). При наличии документации. Измеритель:  10 позиций.  1*1,03*0,8*2592</t>
  </si>
  <si>
    <t>Таблица 7.1, п.1, графа 7, Пояснения, п.3: К=0,8.</t>
  </si>
  <si>
    <t>СМЕТНЫЕ РАБОТЫ. Реставрационные, реставрационно-восстановительные, консервационные работы. Сметные расчеты. Смета по развернутой форме. Измеритель:  10 позиций.  1*0,82*0,8*2592</t>
  </si>
  <si>
    <t>Ц=1*0,82*0,8*2592/1000</t>
  </si>
  <si>
    <t>Пожарная сигнализация. Компенсационные мероприятия. Таблица 3, п.4 (Стадия П - 25%; Стадия Р-75%).   Прим.4 к табл.3: К=1,15; Прим.6 к табл.3: К=1,2; п.2.2 т.ч.: К=1,1; п.3.2 т.ч.: К=1,2.</t>
  </si>
  <si>
    <t>Компенсационные мероприятия.
 Измеритель: Объект. 1*972*28,73*1,15*1,2*1,3*1,1*1,21</t>
  </si>
  <si>
    <t>Ц=1*972*28,73*1,15*1,2*1,3*1,1*1,21/1000</t>
  </si>
  <si>
    <r>
      <t xml:space="preserve">Исходные данные: Здание: </t>
    </r>
    <r>
      <rPr>
        <u/>
        <sz val="10"/>
        <color rgb="FFFF0000"/>
        <rFont val="Times New Roman"/>
        <family val="1"/>
        <charset val="204"/>
      </rPr>
      <t>V=2954 куб.м.</t>
    </r>
    <r>
      <rPr>
        <sz val="10"/>
        <color theme="1"/>
        <rFont val="Times New Roman"/>
        <family val="1"/>
        <charset val="204"/>
      </rPr>
      <t>; II категория сложности; Письмо Министерства культуры РФ от 20 декабря 2011 г. № 107-01-39/10-КЧ: К=4.; п.1.5; Пис+A17ьмо Министерства культуры РФ от 13.11.1998 г. № 01-211/16-14: К=14,6; Стоимость чел.дня 540 рублей; п.1.5. РНиП 4.05.01-93: К=1,2. Стоимость чел. дня в текущих ценах: 540*4*1,2=2592 рубля.</t>
    </r>
  </si>
  <si>
    <t>Ц=1*(273,44+0,017*2954)*0,98*0,4*1,1*3,73</t>
  </si>
  <si>
    <t>Жилые здания. Трехэтажные. Стадия П.
 Измеритель: 1м3. 1*(273,44+0,017*2954)*0,98*0,4*1,1*3,73</t>
  </si>
  <si>
    <t>Таблица 1, п3; Стадия П: К=0,4; О.Ч., п.2.3: К=1,1;  Таблица 41, (кроме газоснабжения): К=0,98</t>
  </si>
  <si>
    <t>Жилые здания. Трехэтажные. Стадия Р.
 Измеритель: 1м3. 1*(273,44+0,017*2954)*0,98*0,6*1,1*3,73</t>
  </si>
  <si>
    <t>Ц=1*(273,44+0,017*2954)*0,98*0,6*1,1*3,73</t>
  </si>
  <si>
    <t>№8. Сметные работы.</t>
  </si>
  <si>
    <t>Смета № 1</t>
  </si>
  <si>
    <t>На  работы по разработке научно-проектной документации для проведения ремонтно-реставрационных работ на объекте культурного наследия«Дом купца Морозова А.С.» по адресу: Россия, Ленинградская область, Волховский район, г. Новая Ладога, наб. Ладожской Флотилии, д. №22</t>
  </si>
  <si>
    <t>Таблица 1, п3; Стадия Р: К=0,6; О.Ч., п.2.3: К=1,1;  Таблица 41, (кроме газоснабжения): К=0,98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</si>
</sst>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u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 applyAlignment="1">
      <alignment horizontal="left" vertical="top" wrapText="1"/>
    </xf>
    <xf numFmtId="49" fontId="0" fillId="0" borderId="0" xfId="0" applyNumberFormat="1"/>
    <xf numFmtId="0" fontId="2" fillId="0" borderId="2" xfId="0" applyFont="1" applyBorder="1" applyAlignment="1">
      <alignment horizontal="center" vertical="top" wrapText="1"/>
    </xf>
    <xf numFmtId="3" fontId="0" fillId="0" borderId="0" xfId="0" applyNumberFormat="1"/>
    <xf numFmtId="0" fontId="1" fillId="0" borderId="0" xfId="0" applyFont="1"/>
    <xf numFmtId="164" fontId="4" fillId="0" borderId="24" xfId="0" applyNumberFormat="1" applyFont="1" applyBorder="1" applyAlignment="1">
      <alignment horizontal="center" vertical="top" wrapText="1"/>
    </xf>
    <xf numFmtId="0" fontId="5" fillId="0" borderId="0" xfId="0" applyFont="1"/>
    <xf numFmtId="0" fontId="4" fillId="0" borderId="3" xfId="0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right" vertical="top" wrapText="1"/>
    </xf>
    <xf numFmtId="0" fontId="2" fillId="0" borderId="0" xfId="0" applyFont="1"/>
    <xf numFmtId="0" fontId="2" fillId="0" borderId="12" xfId="0" applyFont="1" applyBorder="1"/>
    <xf numFmtId="0" fontId="2" fillId="0" borderId="0" xfId="0" applyFont="1" applyAlignment="1">
      <alignment horizontal="right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8" fillId="0" borderId="0" xfId="0" applyFont="1"/>
    <xf numFmtId="0" fontId="10" fillId="0" borderId="0" xfId="0" applyFont="1"/>
    <xf numFmtId="0" fontId="0" fillId="0" borderId="0" xfId="0" applyFill="1"/>
    <xf numFmtId="0" fontId="4" fillId="0" borderId="3" xfId="0" applyFont="1" applyBorder="1" applyAlignment="1">
      <alignment horizontal="right" vertical="top" wrapText="1"/>
    </xf>
    <xf numFmtId="0" fontId="5" fillId="0" borderId="13" xfId="0" applyFont="1" applyBorder="1" applyAlignment="1">
      <alignment horizontal="right" vertical="top" wrapText="1"/>
    </xf>
    <xf numFmtId="0" fontId="5" fillId="0" borderId="24" xfId="0" applyFont="1" applyBorder="1" applyAlignment="1">
      <alignment horizontal="right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9" fillId="0" borderId="25" xfId="0" applyFont="1" applyBorder="1" applyAlignment="1">
      <alignment horizontal="center" vertical="top" wrapText="1"/>
    </xf>
    <xf numFmtId="0" fontId="9" fillId="0" borderId="28" xfId="0" applyFont="1" applyBorder="1" applyAlignment="1">
      <alignment horizontal="center" vertical="top" wrapText="1"/>
    </xf>
    <xf numFmtId="0" fontId="9" fillId="0" borderId="3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16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2" fillId="0" borderId="12" xfId="0" applyNumberFormat="1" applyFont="1" applyBorder="1" applyAlignment="1"/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12" xfId="0" applyFont="1" applyBorder="1" applyAlignment="1">
      <alignment horizontal="right" vertical="top" wrapText="1"/>
    </xf>
    <xf numFmtId="164" fontId="3" fillId="0" borderId="12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13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13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164" fontId="2" fillId="0" borderId="10" xfId="0" applyNumberFormat="1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164" fontId="7" fillId="0" borderId="10" xfId="0" applyNumberFormat="1" applyFont="1" applyBorder="1" applyAlignment="1">
      <alignment horizontal="center" vertical="top" wrapText="1"/>
    </xf>
    <xf numFmtId="164" fontId="7" fillId="0" borderId="11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7" fillId="0" borderId="1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164" fontId="7" fillId="0" borderId="13" xfId="0" applyNumberFormat="1" applyFont="1" applyBorder="1" applyAlignment="1">
      <alignment horizontal="center" vertical="top" wrapText="1"/>
    </xf>
    <xf numFmtId="0" fontId="9" fillId="0" borderId="26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right" vertical="top" wrapText="1"/>
    </xf>
    <xf numFmtId="0" fontId="5" fillId="0" borderId="13" xfId="0" applyFont="1" applyBorder="1" applyAlignment="1">
      <alignment horizontal="right" vertical="top" wrapText="1"/>
    </xf>
    <xf numFmtId="0" fontId="5" fillId="0" borderId="24" xfId="0" applyFont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164" fontId="7" fillId="0" borderId="10" xfId="0" applyNumberFormat="1" applyFont="1" applyFill="1" applyBorder="1" applyAlignment="1">
      <alignment horizontal="center" vertical="top" wrapText="1"/>
    </xf>
    <xf numFmtId="164" fontId="7" fillId="0" borderId="11" xfId="0" applyNumberFormat="1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>
      <alignment horizontal="center" vertical="top" wrapText="1"/>
    </xf>
    <xf numFmtId="4" fontId="7" fillId="0" borderId="1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7" fillId="0" borderId="13" xfId="0" applyNumberFormat="1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164" fontId="2" fillId="3" borderId="10" xfId="0" applyNumberFormat="1" applyFont="1" applyFill="1" applyBorder="1" applyAlignment="1">
      <alignment horizontal="center" vertical="top" wrapText="1"/>
    </xf>
    <xf numFmtId="164" fontId="2" fillId="3" borderId="11" xfId="0" applyNumberFormat="1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4" fontId="2" fillId="3" borderId="3" xfId="0" applyNumberFormat="1" applyFont="1" applyFill="1" applyBorder="1" applyAlignment="1">
      <alignment horizontal="center" vertical="top" wrapText="1"/>
    </xf>
    <xf numFmtId="4" fontId="2" fillId="3" borderId="13" xfId="0" applyNumberFormat="1" applyFont="1" applyFill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center" vertical="top" wrapText="1"/>
    </xf>
    <xf numFmtId="164" fontId="2" fillId="3" borderId="13" xfId="0" applyNumberFormat="1" applyFont="1" applyFill="1" applyBorder="1" applyAlignment="1">
      <alignment horizontal="center" vertical="top" wrapText="1"/>
    </xf>
    <xf numFmtId="0" fontId="6" fillId="0" borderId="13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right" vertical="top" wrapText="1"/>
    </xf>
    <xf numFmtId="0" fontId="1" fillId="0" borderId="24" xfId="0" applyFont="1" applyBorder="1" applyAlignment="1">
      <alignment horizontal="right" vertical="top" wrapText="1"/>
    </xf>
    <xf numFmtId="0" fontId="4" fillId="0" borderId="13" xfId="0" applyFont="1" applyBorder="1" applyAlignment="1">
      <alignment horizontal="right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6"/>
  <sheetViews>
    <sheetView tabSelected="1" topLeftCell="A196" zoomScaleSheetLayoutView="115" workbookViewId="0">
      <selection activeCell="O212" sqref="O212:Q214"/>
    </sheetView>
  </sheetViews>
  <sheetFormatPr defaultColWidth="8.85546875" defaultRowHeight="15" x14ac:dyDescent="0.25"/>
  <cols>
    <col min="1" max="1" width="4.28515625" customWidth="1"/>
    <col min="2" max="2" width="6.140625" customWidth="1"/>
    <col min="3" max="4" width="3.42578125" customWidth="1"/>
    <col min="5" max="5" width="3.85546875" customWidth="1"/>
    <col min="6" max="6" width="6.85546875" customWidth="1"/>
    <col min="7" max="7" width="1.42578125" customWidth="1"/>
    <col min="8" max="8" width="7.42578125" customWidth="1"/>
    <col min="9" max="9" width="14.85546875" customWidth="1"/>
    <col min="10" max="10" width="7.28515625" customWidth="1"/>
    <col min="11" max="11" width="2.7109375" customWidth="1"/>
    <col min="12" max="12" width="2" customWidth="1"/>
    <col min="13" max="13" width="4.7109375" customWidth="1"/>
    <col min="14" max="14" width="2" customWidth="1"/>
    <col min="15" max="15" width="3.28515625" customWidth="1"/>
    <col min="16" max="16" width="1.42578125" customWidth="1"/>
    <col min="17" max="17" width="23.85546875" customWidth="1"/>
  </cols>
  <sheetData>
    <row r="1" spans="1:17" s="15" customFormat="1" ht="12.75" x14ac:dyDescent="0.2">
      <c r="A1" s="15" t="s">
        <v>17</v>
      </c>
      <c r="Q1" s="17" t="s">
        <v>20</v>
      </c>
    </row>
    <row r="2" spans="1:17" s="15" customFormat="1" ht="12.75" x14ac:dyDescent="0.2">
      <c r="Q2" s="17"/>
    </row>
    <row r="3" spans="1:17" s="15" customFormat="1" ht="12.75" x14ac:dyDescent="0.2">
      <c r="Q3" s="17"/>
    </row>
    <row r="4" spans="1:17" s="15" customFormat="1" ht="12.75" x14ac:dyDescent="0.2">
      <c r="Q4" s="17"/>
    </row>
    <row r="5" spans="1:17" s="15" customFormat="1" ht="12.75" x14ac:dyDescent="0.2">
      <c r="Q5" s="17"/>
    </row>
    <row r="6" spans="1:17" s="15" customFormat="1" ht="12.75" x14ac:dyDescent="0.2">
      <c r="Q6" s="17"/>
    </row>
    <row r="7" spans="1:17" s="15" customFormat="1" ht="12.75" x14ac:dyDescent="0.2">
      <c r="Q7" s="17"/>
    </row>
    <row r="8" spans="1:17" s="15" customFormat="1" ht="12.75" x14ac:dyDescent="0.2">
      <c r="A8" s="16"/>
      <c r="B8" s="16"/>
      <c r="C8" s="16"/>
      <c r="D8" s="16"/>
      <c r="K8" s="16"/>
      <c r="L8" s="16"/>
      <c r="M8" s="16"/>
      <c r="N8" s="16"/>
      <c r="O8" s="16"/>
      <c r="Q8" s="17"/>
    </row>
    <row r="9" spans="1:17" s="15" customFormat="1" ht="12.75" x14ac:dyDescent="0.2">
      <c r="A9" s="15" t="s">
        <v>18</v>
      </c>
      <c r="K9" s="15" t="s">
        <v>18</v>
      </c>
      <c r="Q9" s="17"/>
    </row>
    <row r="10" spans="1:17" s="15" customFormat="1" ht="12.75" x14ac:dyDescent="0.2">
      <c r="A10" s="15" t="s">
        <v>19</v>
      </c>
      <c r="Q10" s="17" t="s">
        <v>19</v>
      </c>
    </row>
    <row r="11" spans="1:17" s="15" customFormat="1" ht="12.75" x14ac:dyDescent="0.2"/>
    <row r="12" spans="1:17" s="15" customFormat="1" ht="5.25" customHeight="1" x14ac:dyDescent="0.2"/>
    <row r="13" spans="1:17" s="15" customFormat="1" ht="12.75" x14ac:dyDescent="0.2">
      <c r="A13" s="15" t="s">
        <v>21</v>
      </c>
      <c r="E13" s="15" t="s">
        <v>22</v>
      </c>
    </row>
    <row r="14" spans="1:17" s="15" customFormat="1" ht="12.75" x14ac:dyDescent="0.2">
      <c r="A14" s="15" t="s">
        <v>23</v>
      </c>
      <c r="C14" s="47">
        <f>Q210</f>
        <v>2979.1320000000005</v>
      </c>
      <c r="D14" s="48"/>
      <c r="E14" s="48"/>
      <c r="F14" s="15" t="s">
        <v>24</v>
      </c>
    </row>
    <row r="15" spans="1:17" s="15" customFormat="1" ht="12.75" x14ac:dyDescent="0.2">
      <c r="A15" s="15" t="s">
        <v>25</v>
      </c>
      <c r="G15" s="49">
        <v>0</v>
      </c>
      <c r="H15" s="49"/>
      <c r="I15" s="15" t="s">
        <v>24</v>
      </c>
    </row>
    <row r="16" spans="1:17" s="15" customFormat="1" ht="12.75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7" s="15" customFormat="1" ht="12.75" x14ac:dyDescent="0.2">
      <c r="A17" s="50" t="s">
        <v>26</v>
      </c>
      <c r="B17" s="50"/>
      <c r="C17" s="50"/>
      <c r="D17" s="50"/>
      <c r="E17" s="50"/>
      <c r="F17" s="50"/>
      <c r="G17" s="50"/>
      <c r="H17" s="50"/>
      <c r="I17" s="50"/>
      <c r="J17" s="50"/>
    </row>
    <row r="18" spans="1:17" s="15" customFormat="1" ht="12.75" x14ac:dyDescent="0.2"/>
    <row r="19" spans="1:17" s="15" customFormat="1" ht="12.75" x14ac:dyDescent="0.2"/>
    <row r="20" spans="1:17" ht="19.350000000000001" customHeight="1" x14ac:dyDescent="0.25">
      <c r="A20" s="51" t="s">
        <v>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2" t="s">
        <v>4</v>
      </c>
      <c r="M20" s="52"/>
      <c r="N20" s="41"/>
      <c r="O20" s="41"/>
      <c r="P20" s="37"/>
      <c r="Q20" s="37" t="s">
        <v>1</v>
      </c>
    </row>
    <row r="21" spans="1:17" ht="19.350000000000001" customHeight="1" x14ac:dyDescent="0.25">
      <c r="A21" s="42"/>
      <c r="B21" s="42"/>
      <c r="C21" s="42"/>
      <c r="D21" s="42"/>
      <c r="E21" s="42"/>
      <c r="F21" s="42"/>
      <c r="G21" s="43" t="s">
        <v>3</v>
      </c>
      <c r="H21" s="43"/>
      <c r="I21" s="43"/>
      <c r="J21" s="43"/>
      <c r="K21" s="43"/>
      <c r="L21" s="43"/>
      <c r="M21" s="43"/>
      <c r="N21" s="43"/>
      <c r="O21" s="43"/>
      <c r="P21" s="42"/>
      <c r="Q21" s="42"/>
    </row>
    <row r="22" spans="1:17" ht="6.75" customHeight="1" x14ac:dyDescent="0.25">
      <c r="P22" s="42"/>
      <c r="Q22" s="42"/>
    </row>
    <row r="23" spans="1:17" s="5" customFormat="1" ht="16.5" customHeight="1" x14ac:dyDescent="0.25">
      <c r="A23" s="44" t="s">
        <v>213</v>
      </c>
      <c r="B23" s="44"/>
      <c r="C23" s="44"/>
      <c r="D23" s="44"/>
      <c r="E23" s="44"/>
      <c r="F23" s="44"/>
      <c r="G23" s="44"/>
      <c r="H23" s="44"/>
      <c r="I23" s="44"/>
      <c r="J23" s="44"/>
      <c r="K23" s="45"/>
      <c r="L23" s="45"/>
      <c r="M23" s="45"/>
      <c r="N23" s="45"/>
      <c r="O23" s="45"/>
      <c r="P23" s="45"/>
      <c r="Q23" s="45"/>
    </row>
    <row r="24" spans="1:17" s="5" customFormat="1" ht="42" customHeight="1" x14ac:dyDescent="0.25">
      <c r="A24" s="44" t="s">
        <v>214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</row>
    <row r="25" spans="1:17" s="5" customFormat="1" ht="13.5" customHeight="1" x14ac:dyDescent="0.25">
      <c r="A25" s="64" t="s">
        <v>27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</row>
    <row r="26" spans="1:17" s="5" customFormat="1" ht="13.5" customHeight="1" x14ac:dyDescent="0.25">
      <c r="A26" s="34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</row>
    <row r="27" spans="1:17" ht="15" customHeight="1" x14ac:dyDescent="0.25">
      <c r="A27" s="42" t="s">
        <v>13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</row>
    <row r="28" spans="1:17" ht="15" customHeight="1" x14ac:dyDescent="0.25">
      <c r="A28" s="42" t="s">
        <v>196</v>
      </c>
      <c r="B28" s="42"/>
      <c r="C28" s="42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</row>
    <row r="29" spans="1:17" ht="15" customHeight="1" x14ac:dyDescent="0.25">
      <c r="A29" s="67" t="s">
        <v>32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6"/>
      <c r="P29" s="66"/>
      <c r="Q29" s="66"/>
    </row>
    <row r="30" spans="1:17" ht="19.5" customHeight="1" x14ac:dyDescent="0.25">
      <c r="A30" s="67" t="s">
        <v>33</v>
      </c>
      <c r="B30" s="67"/>
      <c r="C30" s="67"/>
      <c r="D30" s="67"/>
      <c r="E30" s="67"/>
      <c r="F30" s="68"/>
      <c r="G30" s="68"/>
      <c r="H30" s="68"/>
      <c r="I30" s="68"/>
      <c r="J30" s="68"/>
      <c r="K30" s="68"/>
      <c r="L30" s="68"/>
      <c r="M30" s="68"/>
      <c r="N30" s="68"/>
      <c r="O30" s="69"/>
      <c r="P30" s="69"/>
      <c r="Q30" s="69"/>
    </row>
    <row r="31" spans="1:17" s="32" customFormat="1" ht="17.25" customHeight="1" x14ac:dyDescent="0.25">
      <c r="A31" s="70" t="s">
        <v>28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</row>
    <row r="32" spans="1:17" s="32" customFormat="1" ht="15" customHeight="1" x14ac:dyDescent="0.25">
      <c r="A32" s="53">
        <f>C14</f>
        <v>2979.1320000000005</v>
      </c>
      <c r="B32" s="54"/>
      <c r="C32" s="54"/>
      <c r="D32" s="22" t="s">
        <v>24</v>
      </c>
      <c r="E32" s="19"/>
      <c r="F32" s="20"/>
      <c r="G32" s="20"/>
      <c r="H32" s="20"/>
      <c r="I32" s="20"/>
      <c r="J32" s="20"/>
      <c r="K32" s="20"/>
      <c r="L32" s="20"/>
      <c r="M32" s="20"/>
      <c r="N32" s="20"/>
      <c r="O32" s="21"/>
      <c r="P32" s="21"/>
      <c r="Q32" s="21"/>
    </row>
    <row r="33" spans="1:17" s="32" customFormat="1" ht="3.75" customHeight="1" x14ac:dyDescent="0.25">
      <c r="A33" s="19"/>
      <c r="B33" s="19"/>
      <c r="C33" s="19"/>
      <c r="D33" s="19"/>
      <c r="E33" s="19"/>
      <c r="F33" s="20"/>
      <c r="G33" s="20"/>
      <c r="H33" s="20"/>
      <c r="I33" s="20"/>
      <c r="J33" s="20"/>
      <c r="K33" s="20"/>
      <c r="L33" s="20"/>
      <c r="M33" s="20"/>
      <c r="N33" s="20"/>
      <c r="O33" s="21"/>
      <c r="P33" s="21"/>
      <c r="Q33" s="21"/>
    </row>
    <row r="34" spans="1:17" ht="15" customHeight="1" thickBot="1" x14ac:dyDescent="0.3">
      <c r="A34" s="36"/>
      <c r="B34" s="36"/>
      <c r="C34" s="36"/>
      <c r="D34" s="36"/>
      <c r="E34" s="36"/>
      <c r="F34" s="18"/>
      <c r="G34" s="18"/>
      <c r="H34" s="18"/>
      <c r="I34" s="18"/>
      <c r="J34" s="18"/>
      <c r="K34" s="18"/>
      <c r="L34" s="18"/>
      <c r="M34" s="18"/>
      <c r="N34" s="18"/>
      <c r="O34" s="37"/>
      <c r="P34" s="37"/>
      <c r="Q34" s="37" t="s">
        <v>14</v>
      </c>
    </row>
    <row r="35" spans="1:17" ht="62.25" customHeight="1" thickBot="1" x14ac:dyDescent="0.3">
      <c r="A35" s="55" t="s">
        <v>5</v>
      </c>
      <c r="B35" s="55" t="s">
        <v>6</v>
      </c>
      <c r="C35" s="57"/>
      <c r="D35" s="57"/>
      <c r="E35" s="57"/>
      <c r="F35" s="57"/>
      <c r="G35" s="57"/>
      <c r="H35" s="55" t="s">
        <v>7</v>
      </c>
      <c r="I35" s="57"/>
      <c r="J35" s="55" t="s">
        <v>8</v>
      </c>
      <c r="K35" s="57"/>
      <c r="L35" s="57"/>
      <c r="M35" s="57"/>
      <c r="N35" s="57"/>
      <c r="O35" s="57"/>
      <c r="P35" s="57"/>
      <c r="Q35" s="59" t="s">
        <v>9</v>
      </c>
    </row>
    <row r="36" spans="1:17" ht="65.25" customHeight="1" thickBot="1" x14ac:dyDescent="0.3">
      <c r="A36" s="56"/>
      <c r="B36" s="56"/>
      <c r="C36" s="58"/>
      <c r="D36" s="58"/>
      <c r="E36" s="58"/>
      <c r="F36" s="58"/>
      <c r="G36" s="58"/>
      <c r="H36" s="56"/>
      <c r="I36" s="58"/>
      <c r="J36" s="61" t="s">
        <v>10</v>
      </c>
      <c r="K36" s="62"/>
      <c r="L36" s="62"/>
      <c r="M36" s="62"/>
      <c r="N36" s="62"/>
      <c r="O36" s="62"/>
      <c r="P36" s="63"/>
      <c r="Q36" s="60"/>
    </row>
    <row r="37" spans="1:17" ht="19.350000000000001" customHeight="1" x14ac:dyDescent="0.25">
      <c r="A37" s="33">
        <v>1</v>
      </c>
      <c r="B37" s="85">
        <v>2</v>
      </c>
      <c r="C37" s="86"/>
      <c r="D37" s="86"/>
      <c r="E37" s="86"/>
      <c r="F37" s="86"/>
      <c r="G37" s="86"/>
      <c r="H37" s="85">
        <v>3</v>
      </c>
      <c r="I37" s="86"/>
      <c r="J37" s="85">
        <v>4</v>
      </c>
      <c r="K37" s="86"/>
      <c r="L37" s="86"/>
      <c r="M37" s="86"/>
      <c r="N37" s="86"/>
      <c r="O37" s="86"/>
      <c r="P37" s="86"/>
      <c r="Q37" s="3">
        <v>5</v>
      </c>
    </row>
    <row r="38" spans="1:17" s="5" customFormat="1" ht="21.75" customHeight="1" x14ac:dyDescent="0.25">
      <c r="A38" s="87" t="s">
        <v>47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9"/>
    </row>
    <row r="39" spans="1:17" ht="41.25" customHeight="1" x14ac:dyDescent="0.25">
      <c r="A39" s="90" t="s">
        <v>206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2"/>
    </row>
    <row r="40" spans="1:17" ht="25.5" hidden="1" customHeight="1" x14ac:dyDescent="0.25">
      <c r="A40" s="93"/>
      <c r="B40" s="93"/>
      <c r="C40" s="94"/>
      <c r="D40" s="94"/>
      <c r="E40" s="94"/>
      <c r="F40" s="94"/>
      <c r="G40" s="94"/>
      <c r="H40" s="95"/>
      <c r="I40" s="96"/>
      <c r="J40" s="95"/>
      <c r="K40" s="99"/>
      <c r="L40" s="99"/>
      <c r="M40" s="99"/>
      <c r="N40" s="99"/>
      <c r="O40" s="99"/>
      <c r="P40" s="99"/>
      <c r="Q40" s="100"/>
    </row>
    <row r="41" spans="1:17" ht="69.75" hidden="1" customHeight="1" x14ac:dyDescent="0.25">
      <c r="A41" s="71"/>
      <c r="B41" s="71"/>
      <c r="C41" s="72"/>
      <c r="D41" s="72"/>
      <c r="E41" s="72"/>
      <c r="F41" s="72"/>
      <c r="G41" s="72"/>
      <c r="H41" s="97"/>
      <c r="I41" s="98"/>
      <c r="J41" s="73"/>
      <c r="K41" s="74"/>
      <c r="L41" s="74"/>
      <c r="M41" s="75"/>
      <c r="N41" s="76"/>
      <c r="O41" s="76"/>
      <c r="P41" s="76"/>
      <c r="Q41" s="101"/>
    </row>
    <row r="42" spans="1:17" s="23" customFormat="1" ht="25.5" hidden="1" customHeight="1" x14ac:dyDescent="0.25">
      <c r="A42" s="77"/>
      <c r="B42" s="77"/>
      <c r="C42" s="79"/>
      <c r="D42" s="79"/>
      <c r="E42" s="79"/>
      <c r="F42" s="79"/>
      <c r="G42" s="79"/>
      <c r="H42" s="80"/>
      <c r="I42" s="81"/>
      <c r="J42" s="80"/>
      <c r="K42" s="84"/>
      <c r="L42" s="84"/>
      <c r="M42" s="84"/>
      <c r="N42" s="84"/>
      <c r="O42" s="84"/>
      <c r="P42" s="84"/>
      <c r="Q42" s="102"/>
    </row>
    <row r="43" spans="1:17" s="23" customFormat="1" ht="58.5" hidden="1" customHeight="1" x14ac:dyDescent="0.25">
      <c r="A43" s="78"/>
      <c r="B43" s="78"/>
      <c r="C43" s="104"/>
      <c r="D43" s="104"/>
      <c r="E43" s="104"/>
      <c r="F43" s="104"/>
      <c r="G43" s="104"/>
      <c r="H43" s="82"/>
      <c r="I43" s="83"/>
      <c r="J43" s="105"/>
      <c r="K43" s="106"/>
      <c r="L43" s="106"/>
      <c r="M43" s="107"/>
      <c r="N43" s="108"/>
      <c r="O43" s="108"/>
      <c r="P43" s="108"/>
      <c r="Q43" s="103"/>
    </row>
    <row r="44" spans="1:17" ht="25.5" hidden="1" customHeight="1" x14ac:dyDescent="0.25">
      <c r="A44" s="93"/>
      <c r="B44" s="93"/>
      <c r="C44" s="94"/>
      <c r="D44" s="94"/>
      <c r="E44" s="94"/>
      <c r="F44" s="94"/>
      <c r="G44" s="94"/>
      <c r="H44" s="95"/>
      <c r="I44" s="96"/>
      <c r="J44" s="95"/>
      <c r="K44" s="99"/>
      <c r="L44" s="99"/>
      <c r="M44" s="99"/>
      <c r="N44" s="99"/>
      <c r="O44" s="99"/>
      <c r="P44" s="99"/>
      <c r="Q44" s="100"/>
    </row>
    <row r="45" spans="1:17" ht="106.5" hidden="1" customHeight="1" x14ac:dyDescent="0.25">
      <c r="A45" s="71"/>
      <c r="B45" s="71"/>
      <c r="C45" s="72"/>
      <c r="D45" s="72"/>
      <c r="E45" s="72"/>
      <c r="F45" s="72"/>
      <c r="G45" s="72"/>
      <c r="H45" s="97"/>
      <c r="I45" s="98"/>
      <c r="J45" s="73"/>
      <c r="K45" s="74"/>
      <c r="L45" s="74"/>
      <c r="M45" s="75"/>
      <c r="N45" s="76"/>
      <c r="O45" s="76"/>
      <c r="P45" s="76"/>
      <c r="Q45" s="101"/>
    </row>
    <row r="46" spans="1:17" ht="25.5" hidden="1" customHeight="1" x14ac:dyDescent="0.25">
      <c r="A46" s="93"/>
      <c r="B46" s="93"/>
      <c r="C46" s="94"/>
      <c r="D46" s="94"/>
      <c r="E46" s="94"/>
      <c r="F46" s="94"/>
      <c r="G46" s="94"/>
      <c r="H46" s="95"/>
      <c r="I46" s="96"/>
      <c r="J46" s="95"/>
      <c r="K46" s="99"/>
      <c r="L46" s="99"/>
      <c r="M46" s="99"/>
      <c r="N46" s="99"/>
      <c r="O46" s="99"/>
      <c r="P46" s="99"/>
      <c r="Q46" s="100"/>
    </row>
    <row r="47" spans="1:17" ht="76.5" hidden="1" customHeight="1" x14ac:dyDescent="0.25">
      <c r="A47" s="71"/>
      <c r="B47" s="71"/>
      <c r="C47" s="72"/>
      <c r="D47" s="72"/>
      <c r="E47" s="72"/>
      <c r="F47" s="72"/>
      <c r="G47" s="72"/>
      <c r="H47" s="97"/>
      <c r="I47" s="98"/>
      <c r="J47" s="73"/>
      <c r="K47" s="74"/>
      <c r="L47" s="74"/>
      <c r="M47" s="75"/>
      <c r="N47" s="76"/>
      <c r="O47" s="76"/>
      <c r="P47" s="76"/>
      <c r="Q47" s="101"/>
    </row>
    <row r="48" spans="1:17" ht="25.5" hidden="1" customHeight="1" x14ac:dyDescent="0.25">
      <c r="A48" s="93"/>
      <c r="B48" s="93"/>
      <c r="C48" s="94"/>
      <c r="D48" s="94"/>
      <c r="E48" s="94"/>
      <c r="F48" s="94"/>
      <c r="G48" s="94"/>
      <c r="H48" s="95"/>
      <c r="I48" s="96"/>
      <c r="J48" s="95"/>
      <c r="K48" s="99"/>
      <c r="L48" s="99"/>
      <c r="M48" s="99"/>
      <c r="N48" s="99"/>
      <c r="O48" s="99"/>
      <c r="P48" s="99"/>
      <c r="Q48" s="100"/>
    </row>
    <row r="49" spans="1:17" ht="74.25" hidden="1" customHeight="1" x14ac:dyDescent="0.25">
      <c r="A49" s="71"/>
      <c r="B49" s="71"/>
      <c r="C49" s="72"/>
      <c r="D49" s="72"/>
      <c r="E49" s="72"/>
      <c r="F49" s="72"/>
      <c r="G49" s="72"/>
      <c r="H49" s="97"/>
      <c r="I49" s="98"/>
      <c r="J49" s="73"/>
      <c r="K49" s="74"/>
      <c r="L49" s="74"/>
      <c r="M49" s="75"/>
      <c r="N49" s="76"/>
      <c r="O49" s="76"/>
      <c r="P49" s="76"/>
      <c r="Q49" s="101"/>
    </row>
    <row r="50" spans="1:17" ht="25.5" hidden="1" customHeight="1" x14ac:dyDescent="0.25">
      <c r="A50" s="93"/>
      <c r="B50" s="93"/>
      <c r="C50" s="94"/>
      <c r="D50" s="94"/>
      <c r="E50" s="94"/>
      <c r="F50" s="94"/>
      <c r="G50" s="94"/>
      <c r="H50" s="95"/>
      <c r="I50" s="96"/>
      <c r="J50" s="95"/>
      <c r="K50" s="99"/>
      <c r="L50" s="99"/>
      <c r="M50" s="99"/>
      <c r="N50" s="99"/>
      <c r="O50" s="99"/>
      <c r="P50" s="99"/>
      <c r="Q50" s="100"/>
    </row>
    <row r="51" spans="1:17" ht="63" hidden="1" customHeight="1" x14ac:dyDescent="0.25">
      <c r="A51" s="71"/>
      <c r="B51" s="71"/>
      <c r="C51" s="72"/>
      <c r="D51" s="72"/>
      <c r="E51" s="72"/>
      <c r="F51" s="72"/>
      <c r="G51" s="72"/>
      <c r="H51" s="97"/>
      <c r="I51" s="98"/>
      <c r="J51" s="73"/>
      <c r="K51" s="74"/>
      <c r="L51" s="74"/>
      <c r="M51" s="75"/>
      <c r="N51" s="76"/>
      <c r="O51" s="76"/>
      <c r="P51" s="76"/>
      <c r="Q51" s="101"/>
    </row>
    <row r="52" spans="1:17" ht="25.5" hidden="1" customHeight="1" x14ac:dyDescent="0.25">
      <c r="A52" s="93"/>
      <c r="B52" s="93"/>
      <c r="C52" s="94"/>
      <c r="D52" s="94"/>
      <c r="E52" s="94"/>
      <c r="F52" s="94"/>
      <c r="G52" s="94"/>
      <c r="H52" s="95"/>
      <c r="I52" s="96"/>
      <c r="J52" s="95"/>
      <c r="K52" s="99"/>
      <c r="L52" s="99"/>
      <c r="M52" s="99"/>
      <c r="N52" s="99"/>
      <c r="O52" s="99"/>
      <c r="P52" s="99"/>
      <c r="Q52" s="100"/>
    </row>
    <row r="53" spans="1:17" ht="74.25" hidden="1" customHeight="1" x14ac:dyDescent="0.25">
      <c r="A53" s="71"/>
      <c r="B53" s="71"/>
      <c r="C53" s="72"/>
      <c r="D53" s="72"/>
      <c r="E53" s="72"/>
      <c r="F53" s="72"/>
      <c r="G53" s="72"/>
      <c r="H53" s="97"/>
      <c r="I53" s="98"/>
      <c r="J53" s="73"/>
      <c r="K53" s="74"/>
      <c r="L53" s="74"/>
      <c r="M53" s="75"/>
      <c r="N53" s="76"/>
      <c r="O53" s="76"/>
      <c r="P53" s="76"/>
      <c r="Q53" s="101"/>
    </row>
    <row r="54" spans="1:17" ht="35.25" hidden="1" customHeight="1" x14ac:dyDescent="0.25">
      <c r="A54" s="93"/>
      <c r="B54" s="93"/>
      <c r="C54" s="94"/>
      <c r="D54" s="94"/>
      <c r="E54" s="94"/>
      <c r="F54" s="94"/>
      <c r="G54" s="94"/>
      <c r="H54" s="95"/>
      <c r="I54" s="96"/>
      <c r="J54" s="95"/>
      <c r="K54" s="99"/>
      <c r="L54" s="99"/>
      <c r="M54" s="99"/>
      <c r="N54" s="99"/>
      <c r="O54" s="99"/>
      <c r="P54" s="99"/>
      <c r="Q54" s="100"/>
    </row>
    <row r="55" spans="1:17" ht="73.5" hidden="1" customHeight="1" x14ac:dyDescent="0.25">
      <c r="A55" s="71"/>
      <c r="B55" s="71"/>
      <c r="C55" s="72"/>
      <c r="D55" s="72"/>
      <c r="E55" s="72"/>
      <c r="F55" s="72"/>
      <c r="G55" s="72"/>
      <c r="H55" s="97"/>
      <c r="I55" s="98"/>
      <c r="J55" s="73"/>
      <c r="K55" s="74"/>
      <c r="L55" s="74"/>
      <c r="M55" s="75"/>
      <c r="N55" s="76"/>
      <c r="O55" s="76"/>
      <c r="P55" s="76"/>
      <c r="Q55" s="101"/>
    </row>
    <row r="56" spans="1:17" ht="34.5" hidden="1" customHeight="1" x14ac:dyDescent="0.25">
      <c r="A56" s="93"/>
      <c r="B56" s="93"/>
      <c r="C56" s="94"/>
      <c r="D56" s="94"/>
      <c r="E56" s="94"/>
      <c r="F56" s="94"/>
      <c r="G56" s="94"/>
      <c r="H56" s="95"/>
      <c r="I56" s="96"/>
      <c r="J56" s="95"/>
      <c r="K56" s="99"/>
      <c r="L56" s="99"/>
      <c r="M56" s="99"/>
      <c r="N56" s="99"/>
      <c r="O56" s="99"/>
      <c r="P56" s="99"/>
      <c r="Q56" s="100"/>
    </row>
    <row r="57" spans="1:17" ht="68.25" hidden="1" customHeight="1" x14ac:dyDescent="0.25">
      <c r="A57" s="71"/>
      <c r="B57" s="71"/>
      <c r="C57" s="72"/>
      <c r="D57" s="72"/>
      <c r="E57" s="72"/>
      <c r="F57" s="72"/>
      <c r="G57" s="72"/>
      <c r="H57" s="97"/>
      <c r="I57" s="98"/>
      <c r="J57" s="73"/>
      <c r="K57" s="74"/>
      <c r="L57" s="74"/>
      <c r="M57" s="75"/>
      <c r="N57" s="76"/>
      <c r="O57" s="76"/>
      <c r="P57" s="76"/>
      <c r="Q57" s="101"/>
    </row>
    <row r="58" spans="1:17" ht="21" customHeight="1" x14ac:dyDescent="0.25">
      <c r="A58" s="90" t="s">
        <v>35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2"/>
    </row>
    <row r="59" spans="1:17" s="24" customFormat="1" ht="13.5" customHeight="1" x14ac:dyDescent="0.2">
      <c r="A59" s="38">
        <v>1</v>
      </c>
      <c r="B59" s="109" t="s">
        <v>36</v>
      </c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1"/>
    </row>
    <row r="60" spans="1:17" s="24" customFormat="1" ht="13.5" customHeight="1" x14ac:dyDescent="0.2">
      <c r="A60" s="39">
        <v>2</v>
      </c>
      <c r="B60" s="112" t="s">
        <v>37</v>
      </c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4"/>
    </row>
    <row r="61" spans="1:17" s="24" customFormat="1" ht="13.5" customHeight="1" x14ac:dyDescent="0.2">
      <c r="A61" s="39">
        <v>3</v>
      </c>
      <c r="B61" s="112" t="s">
        <v>38</v>
      </c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4"/>
    </row>
    <row r="62" spans="1:17" s="24" customFormat="1" ht="13.5" customHeight="1" x14ac:dyDescent="0.2">
      <c r="A62" s="39">
        <v>4</v>
      </c>
      <c r="B62" s="112" t="s">
        <v>39</v>
      </c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4"/>
    </row>
    <row r="63" spans="1:17" s="24" customFormat="1" ht="13.5" customHeight="1" x14ac:dyDescent="0.2">
      <c r="A63" s="39">
        <v>5</v>
      </c>
      <c r="B63" s="112" t="s">
        <v>40</v>
      </c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4"/>
    </row>
    <row r="64" spans="1:17" s="24" customFormat="1" ht="13.5" customHeight="1" x14ac:dyDescent="0.2">
      <c r="A64" s="39">
        <v>6</v>
      </c>
      <c r="B64" s="112" t="s">
        <v>41</v>
      </c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4"/>
    </row>
    <row r="65" spans="1:17" s="24" customFormat="1" ht="13.5" customHeight="1" x14ac:dyDescent="0.2">
      <c r="A65" s="39">
        <v>7</v>
      </c>
      <c r="B65" s="112" t="s">
        <v>42</v>
      </c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4"/>
    </row>
    <row r="66" spans="1:17" s="24" customFormat="1" ht="13.5" customHeight="1" x14ac:dyDescent="0.2">
      <c r="A66" s="40">
        <v>8</v>
      </c>
      <c r="B66" s="115" t="s">
        <v>43</v>
      </c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7"/>
    </row>
    <row r="67" spans="1:17" ht="56.25" customHeight="1" x14ac:dyDescent="0.25">
      <c r="A67" s="93">
        <v>1</v>
      </c>
      <c r="B67" s="93" t="s">
        <v>15</v>
      </c>
      <c r="C67" s="94"/>
      <c r="D67" s="94"/>
      <c r="E67" s="94"/>
      <c r="F67" s="94"/>
      <c r="G67" s="94"/>
      <c r="H67" s="95" t="s">
        <v>44</v>
      </c>
      <c r="I67" s="96"/>
      <c r="J67" s="95" t="s">
        <v>46</v>
      </c>
      <c r="K67" s="99"/>
      <c r="L67" s="99"/>
      <c r="M67" s="99"/>
      <c r="N67" s="99"/>
      <c r="O67" s="99"/>
      <c r="P67" s="99"/>
      <c r="Q67" s="100">
        <f>ROUND(M68*J68,3)</f>
        <v>59.813000000000002</v>
      </c>
    </row>
    <row r="68" spans="1:17" ht="84" customHeight="1" x14ac:dyDescent="0.25">
      <c r="A68" s="71"/>
      <c r="B68" s="71" t="s">
        <v>45</v>
      </c>
      <c r="C68" s="72"/>
      <c r="D68" s="72"/>
      <c r="E68" s="72"/>
      <c r="F68" s="72"/>
      <c r="G68" s="72"/>
      <c r="H68" s="97"/>
      <c r="I68" s="98"/>
      <c r="J68" s="73">
        <v>1</v>
      </c>
      <c r="K68" s="74"/>
      <c r="L68" s="74"/>
      <c r="M68" s="75">
        <f>ROUND(1*(1.29*1.3+2.41*1.3+3.4*1.3+4.42*1.3+2.97+1.83+2.36+0.94)*2592/1000,3)</f>
        <v>59.813000000000002</v>
      </c>
      <c r="N68" s="76"/>
      <c r="O68" s="76"/>
      <c r="P68" s="76"/>
      <c r="Q68" s="101"/>
    </row>
    <row r="69" spans="1:17" s="7" customFormat="1" ht="19.350000000000001" customHeight="1" x14ac:dyDescent="0.25">
      <c r="A69" s="118" t="s">
        <v>30</v>
      </c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20"/>
      <c r="Q69" s="6">
        <f>SUM(Q67:Q68)</f>
        <v>59.813000000000002</v>
      </c>
    </row>
    <row r="70" spans="1:17" s="5" customFormat="1" ht="21.75" customHeight="1" x14ac:dyDescent="0.25">
      <c r="A70" s="87" t="s">
        <v>82</v>
      </c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9"/>
    </row>
    <row r="71" spans="1:17" ht="54.75" hidden="1" customHeight="1" x14ac:dyDescent="0.25">
      <c r="A71" s="90" t="s">
        <v>48</v>
      </c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2"/>
    </row>
    <row r="72" spans="1:17" ht="25.5" hidden="1" customHeight="1" x14ac:dyDescent="0.25">
      <c r="A72" s="93"/>
      <c r="B72" s="93"/>
      <c r="C72" s="94"/>
      <c r="D72" s="94"/>
      <c r="E72" s="94"/>
      <c r="F72" s="94"/>
      <c r="G72" s="94"/>
      <c r="H72" s="95"/>
      <c r="I72" s="96"/>
      <c r="J72" s="95"/>
      <c r="K72" s="99"/>
      <c r="L72" s="99"/>
      <c r="M72" s="99"/>
      <c r="N72" s="99"/>
      <c r="O72" s="99"/>
      <c r="P72" s="99"/>
      <c r="Q72" s="100"/>
    </row>
    <row r="73" spans="1:17" ht="69.75" hidden="1" customHeight="1" x14ac:dyDescent="0.25">
      <c r="A73" s="71"/>
      <c r="B73" s="71"/>
      <c r="C73" s="72"/>
      <c r="D73" s="72"/>
      <c r="E73" s="72"/>
      <c r="F73" s="72"/>
      <c r="G73" s="72"/>
      <c r="H73" s="97"/>
      <c r="I73" s="98"/>
      <c r="J73" s="73"/>
      <c r="K73" s="74"/>
      <c r="L73" s="74"/>
      <c r="M73" s="75"/>
      <c r="N73" s="76"/>
      <c r="O73" s="76"/>
      <c r="P73" s="76"/>
      <c r="Q73" s="101"/>
    </row>
    <row r="74" spans="1:17" s="23" customFormat="1" ht="25.5" hidden="1" customHeight="1" x14ac:dyDescent="0.25">
      <c r="A74" s="77"/>
      <c r="B74" s="77"/>
      <c r="C74" s="79"/>
      <c r="D74" s="79"/>
      <c r="E74" s="79"/>
      <c r="F74" s="79"/>
      <c r="G74" s="79"/>
      <c r="H74" s="80"/>
      <c r="I74" s="81"/>
      <c r="J74" s="80"/>
      <c r="K74" s="84"/>
      <c r="L74" s="84"/>
      <c r="M74" s="84"/>
      <c r="N74" s="84"/>
      <c r="O74" s="84"/>
      <c r="P74" s="84"/>
      <c r="Q74" s="102"/>
    </row>
    <row r="75" spans="1:17" s="23" customFormat="1" ht="58.5" hidden="1" customHeight="1" x14ac:dyDescent="0.25">
      <c r="A75" s="78"/>
      <c r="B75" s="78"/>
      <c r="C75" s="104"/>
      <c r="D75" s="104"/>
      <c r="E75" s="104"/>
      <c r="F75" s="104"/>
      <c r="G75" s="104"/>
      <c r="H75" s="82"/>
      <c r="I75" s="83"/>
      <c r="J75" s="105"/>
      <c r="K75" s="106"/>
      <c r="L75" s="106"/>
      <c r="M75" s="107"/>
      <c r="N75" s="108"/>
      <c r="O75" s="108"/>
      <c r="P75" s="108"/>
      <c r="Q75" s="103"/>
    </row>
    <row r="76" spans="1:17" ht="25.5" hidden="1" customHeight="1" x14ac:dyDescent="0.25">
      <c r="A76" s="93"/>
      <c r="B76" s="93"/>
      <c r="C76" s="94"/>
      <c r="D76" s="94"/>
      <c r="E76" s="94"/>
      <c r="F76" s="94"/>
      <c r="G76" s="94"/>
      <c r="H76" s="95"/>
      <c r="I76" s="96"/>
      <c r="J76" s="95"/>
      <c r="K76" s="99"/>
      <c r="L76" s="99"/>
      <c r="M76" s="99"/>
      <c r="N76" s="99"/>
      <c r="O76" s="99"/>
      <c r="P76" s="99"/>
      <c r="Q76" s="100"/>
    </row>
    <row r="77" spans="1:17" ht="106.5" hidden="1" customHeight="1" x14ac:dyDescent="0.25">
      <c r="A77" s="71"/>
      <c r="B77" s="71"/>
      <c r="C77" s="72"/>
      <c r="D77" s="72"/>
      <c r="E77" s="72"/>
      <c r="F77" s="72"/>
      <c r="G77" s="72"/>
      <c r="H77" s="97"/>
      <c r="I77" s="98"/>
      <c r="J77" s="73"/>
      <c r="K77" s="74"/>
      <c r="L77" s="74"/>
      <c r="M77" s="75"/>
      <c r="N77" s="76"/>
      <c r="O77" s="76"/>
      <c r="P77" s="76"/>
      <c r="Q77" s="101"/>
    </row>
    <row r="78" spans="1:17" ht="25.5" hidden="1" customHeight="1" x14ac:dyDescent="0.25">
      <c r="A78" s="93"/>
      <c r="B78" s="93"/>
      <c r="C78" s="94"/>
      <c r="D78" s="94"/>
      <c r="E78" s="94"/>
      <c r="F78" s="94"/>
      <c r="G78" s="94"/>
      <c r="H78" s="95"/>
      <c r="I78" s="96"/>
      <c r="J78" s="95"/>
      <c r="K78" s="99"/>
      <c r="L78" s="99"/>
      <c r="M78" s="99"/>
      <c r="N78" s="99"/>
      <c r="O78" s="99"/>
      <c r="P78" s="99"/>
      <c r="Q78" s="100"/>
    </row>
    <row r="79" spans="1:17" ht="76.5" hidden="1" customHeight="1" x14ac:dyDescent="0.25">
      <c r="A79" s="71"/>
      <c r="B79" s="71"/>
      <c r="C79" s="72"/>
      <c r="D79" s="72"/>
      <c r="E79" s="72"/>
      <c r="F79" s="72"/>
      <c r="G79" s="72"/>
      <c r="H79" s="97"/>
      <c r="I79" s="98"/>
      <c r="J79" s="73"/>
      <c r="K79" s="74"/>
      <c r="L79" s="74"/>
      <c r="M79" s="75"/>
      <c r="N79" s="76"/>
      <c r="O79" s="76"/>
      <c r="P79" s="76"/>
      <c r="Q79" s="101"/>
    </row>
    <row r="80" spans="1:17" ht="25.5" hidden="1" customHeight="1" x14ac:dyDescent="0.25">
      <c r="A80" s="93"/>
      <c r="B80" s="93"/>
      <c r="C80" s="94"/>
      <c r="D80" s="94"/>
      <c r="E80" s="94"/>
      <c r="F80" s="94"/>
      <c r="G80" s="94"/>
      <c r="H80" s="95"/>
      <c r="I80" s="96"/>
      <c r="J80" s="95"/>
      <c r="K80" s="99"/>
      <c r="L80" s="99"/>
      <c r="M80" s="99"/>
      <c r="N80" s="99"/>
      <c r="O80" s="99"/>
      <c r="P80" s="99"/>
      <c r="Q80" s="100"/>
    </row>
    <row r="81" spans="1:17" ht="74.25" hidden="1" customHeight="1" x14ac:dyDescent="0.25">
      <c r="A81" s="71"/>
      <c r="B81" s="71"/>
      <c r="C81" s="72"/>
      <c r="D81" s="72"/>
      <c r="E81" s="72"/>
      <c r="F81" s="72"/>
      <c r="G81" s="72"/>
      <c r="H81" s="97"/>
      <c r="I81" s="98"/>
      <c r="J81" s="73"/>
      <c r="K81" s="74"/>
      <c r="L81" s="74"/>
      <c r="M81" s="75"/>
      <c r="N81" s="76"/>
      <c r="O81" s="76"/>
      <c r="P81" s="76"/>
      <c r="Q81" s="101"/>
    </row>
    <row r="82" spans="1:17" ht="25.5" hidden="1" customHeight="1" x14ac:dyDescent="0.25">
      <c r="A82" s="93"/>
      <c r="B82" s="93"/>
      <c r="C82" s="94"/>
      <c r="D82" s="94"/>
      <c r="E82" s="94"/>
      <c r="F82" s="94"/>
      <c r="G82" s="94"/>
      <c r="H82" s="95"/>
      <c r="I82" s="96"/>
      <c r="J82" s="95"/>
      <c r="K82" s="99"/>
      <c r="L82" s="99"/>
      <c r="M82" s="99"/>
      <c r="N82" s="99"/>
      <c r="O82" s="99"/>
      <c r="P82" s="99"/>
      <c r="Q82" s="100"/>
    </row>
    <row r="83" spans="1:17" ht="63" hidden="1" customHeight="1" x14ac:dyDescent="0.25">
      <c r="A83" s="71"/>
      <c r="B83" s="71"/>
      <c r="C83" s="72"/>
      <c r="D83" s="72"/>
      <c r="E83" s="72"/>
      <c r="F83" s="72"/>
      <c r="G83" s="72"/>
      <c r="H83" s="97"/>
      <c r="I83" s="98"/>
      <c r="J83" s="73"/>
      <c r="K83" s="74"/>
      <c r="L83" s="74"/>
      <c r="M83" s="75"/>
      <c r="N83" s="76"/>
      <c r="O83" s="76"/>
      <c r="P83" s="76"/>
      <c r="Q83" s="101"/>
    </row>
    <row r="84" spans="1:17" ht="25.5" hidden="1" customHeight="1" x14ac:dyDescent="0.25">
      <c r="A84" s="93"/>
      <c r="B84" s="93"/>
      <c r="C84" s="94"/>
      <c r="D84" s="94"/>
      <c r="E84" s="94"/>
      <c r="F84" s="94"/>
      <c r="G84" s="94"/>
      <c r="H84" s="95"/>
      <c r="I84" s="96"/>
      <c r="J84" s="95"/>
      <c r="K84" s="99"/>
      <c r="L84" s="99"/>
      <c r="M84" s="99"/>
      <c r="N84" s="99"/>
      <c r="O84" s="99"/>
      <c r="P84" s="99"/>
      <c r="Q84" s="100"/>
    </row>
    <row r="85" spans="1:17" ht="74.25" hidden="1" customHeight="1" x14ac:dyDescent="0.25">
      <c r="A85" s="71"/>
      <c r="B85" s="71"/>
      <c r="C85" s="72"/>
      <c r="D85" s="72"/>
      <c r="E85" s="72"/>
      <c r="F85" s="72"/>
      <c r="G85" s="72"/>
      <c r="H85" s="97"/>
      <c r="I85" s="98"/>
      <c r="J85" s="73"/>
      <c r="K85" s="74"/>
      <c r="L85" s="74"/>
      <c r="M85" s="75"/>
      <c r="N85" s="76"/>
      <c r="O85" s="76"/>
      <c r="P85" s="76"/>
      <c r="Q85" s="101"/>
    </row>
    <row r="86" spans="1:17" ht="35.25" hidden="1" customHeight="1" x14ac:dyDescent="0.25">
      <c r="A86" s="93"/>
      <c r="B86" s="93"/>
      <c r="C86" s="94"/>
      <c r="D86" s="94"/>
      <c r="E86" s="94"/>
      <c r="F86" s="94"/>
      <c r="G86" s="94"/>
      <c r="H86" s="95"/>
      <c r="I86" s="96"/>
      <c r="J86" s="95"/>
      <c r="K86" s="99"/>
      <c r="L86" s="99"/>
      <c r="M86" s="99"/>
      <c r="N86" s="99"/>
      <c r="O86" s="99"/>
      <c r="P86" s="99"/>
      <c r="Q86" s="100"/>
    </row>
    <row r="87" spans="1:17" ht="73.5" hidden="1" customHeight="1" x14ac:dyDescent="0.25">
      <c r="A87" s="71"/>
      <c r="B87" s="71"/>
      <c r="C87" s="72"/>
      <c r="D87" s="72"/>
      <c r="E87" s="72"/>
      <c r="F87" s="72"/>
      <c r="G87" s="72"/>
      <c r="H87" s="97"/>
      <c r="I87" s="98"/>
      <c r="J87" s="73"/>
      <c r="K87" s="74"/>
      <c r="L87" s="74"/>
      <c r="M87" s="75"/>
      <c r="N87" s="76"/>
      <c r="O87" s="76"/>
      <c r="P87" s="76"/>
      <c r="Q87" s="101"/>
    </row>
    <row r="88" spans="1:17" ht="34.5" hidden="1" customHeight="1" x14ac:dyDescent="0.25">
      <c r="A88" s="93"/>
      <c r="B88" s="93"/>
      <c r="C88" s="94"/>
      <c r="D88" s="94"/>
      <c r="E88" s="94"/>
      <c r="F88" s="94"/>
      <c r="G88" s="94"/>
      <c r="H88" s="95"/>
      <c r="I88" s="96"/>
      <c r="J88" s="95"/>
      <c r="K88" s="99"/>
      <c r="L88" s="99"/>
      <c r="M88" s="99"/>
      <c r="N88" s="99"/>
      <c r="O88" s="99"/>
      <c r="P88" s="99"/>
      <c r="Q88" s="100"/>
    </row>
    <row r="89" spans="1:17" ht="68.25" hidden="1" customHeight="1" x14ac:dyDescent="0.25">
      <c r="A89" s="71"/>
      <c r="B89" s="71"/>
      <c r="C89" s="72"/>
      <c r="D89" s="72"/>
      <c r="E89" s="72"/>
      <c r="F89" s="72"/>
      <c r="G89" s="72"/>
      <c r="H89" s="97"/>
      <c r="I89" s="98"/>
      <c r="J89" s="73"/>
      <c r="K89" s="74"/>
      <c r="L89" s="74"/>
      <c r="M89" s="75"/>
      <c r="N89" s="76"/>
      <c r="O89" s="76"/>
      <c r="P89" s="76"/>
      <c r="Q89" s="101"/>
    </row>
    <row r="90" spans="1:17" ht="21" hidden="1" customHeight="1" x14ac:dyDescent="0.25">
      <c r="A90" s="90" t="s">
        <v>35</v>
      </c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2"/>
    </row>
    <row r="91" spans="1:17" ht="33" customHeight="1" x14ac:dyDescent="0.25">
      <c r="A91" s="93">
        <v>2</v>
      </c>
      <c r="B91" s="93" t="s">
        <v>15</v>
      </c>
      <c r="C91" s="94"/>
      <c r="D91" s="94"/>
      <c r="E91" s="94"/>
      <c r="F91" s="94"/>
      <c r="G91" s="94"/>
      <c r="H91" s="95" t="s">
        <v>49</v>
      </c>
      <c r="I91" s="96"/>
      <c r="J91" s="95" t="s">
        <v>51</v>
      </c>
      <c r="K91" s="99"/>
      <c r="L91" s="99"/>
      <c r="M91" s="99"/>
      <c r="N91" s="99"/>
      <c r="O91" s="99"/>
      <c r="P91" s="99"/>
      <c r="Q91" s="100">
        <f>ROUND(M92*J92,3)</f>
        <v>281.63099999999997</v>
      </c>
    </row>
    <row r="92" spans="1:17" ht="107.25" customHeight="1" x14ac:dyDescent="0.25">
      <c r="A92" s="71"/>
      <c r="B92" s="71" t="s">
        <v>50</v>
      </c>
      <c r="C92" s="72"/>
      <c r="D92" s="72"/>
      <c r="E92" s="72"/>
      <c r="F92" s="72"/>
      <c r="G92" s="72"/>
      <c r="H92" s="97"/>
      <c r="I92" s="98"/>
      <c r="J92" s="73">
        <v>1</v>
      </c>
      <c r="K92" s="74"/>
      <c r="L92" s="74"/>
      <c r="M92" s="75">
        <f>ROUND(1*77.61*1.4*2592/1000,3)</f>
        <v>281.63099999999997</v>
      </c>
      <c r="N92" s="76"/>
      <c r="O92" s="76"/>
      <c r="P92" s="76"/>
      <c r="Q92" s="101"/>
    </row>
    <row r="93" spans="1:17" ht="23.25" customHeight="1" x14ac:dyDescent="0.25">
      <c r="A93" s="93">
        <v>3</v>
      </c>
      <c r="B93" s="93" t="s">
        <v>15</v>
      </c>
      <c r="C93" s="94"/>
      <c r="D93" s="94"/>
      <c r="E93" s="94"/>
      <c r="F93" s="94"/>
      <c r="G93" s="94"/>
      <c r="H93" s="95" t="s">
        <v>52</v>
      </c>
      <c r="I93" s="96"/>
      <c r="J93" s="95" t="s">
        <v>54</v>
      </c>
      <c r="K93" s="99"/>
      <c r="L93" s="99"/>
      <c r="M93" s="99"/>
      <c r="N93" s="99"/>
      <c r="O93" s="99"/>
      <c r="P93" s="99"/>
      <c r="Q93" s="100">
        <f>ROUND(M94*J94,3)</f>
        <v>53.265999999999998</v>
      </c>
    </row>
    <row r="94" spans="1:17" ht="106.5" customHeight="1" x14ac:dyDescent="0.25">
      <c r="A94" s="71"/>
      <c r="B94" s="71" t="s">
        <v>53</v>
      </c>
      <c r="C94" s="72"/>
      <c r="D94" s="72"/>
      <c r="E94" s="72"/>
      <c r="F94" s="72"/>
      <c r="G94" s="72"/>
      <c r="H94" s="97"/>
      <c r="I94" s="98"/>
      <c r="J94" s="73">
        <v>1</v>
      </c>
      <c r="K94" s="74"/>
      <c r="L94" s="74"/>
      <c r="M94" s="75">
        <f>ROUND(1*20.55*2592/1000,3)</f>
        <v>53.265999999999998</v>
      </c>
      <c r="N94" s="76"/>
      <c r="O94" s="76"/>
      <c r="P94" s="76"/>
      <c r="Q94" s="101"/>
    </row>
    <row r="95" spans="1:17" s="7" customFormat="1" ht="19.350000000000001" customHeight="1" x14ac:dyDescent="0.25">
      <c r="A95" s="118" t="s">
        <v>83</v>
      </c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20"/>
      <c r="Q95" s="6">
        <f>SUM(Q91:Q94)</f>
        <v>334.89699999999999</v>
      </c>
    </row>
    <row r="96" spans="1:17" s="5" customFormat="1" ht="21.75" customHeight="1" x14ac:dyDescent="0.25">
      <c r="A96" s="87" t="s">
        <v>84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9"/>
    </row>
    <row r="97" spans="1:17" ht="30.75" customHeight="1" x14ac:dyDescent="0.25">
      <c r="A97" s="93">
        <v>4</v>
      </c>
      <c r="B97" s="93" t="s">
        <v>15</v>
      </c>
      <c r="C97" s="94"/>
      <c r="D97" s="94"/>
      <c r="E97" s="94"/>
      <c r="F97" s="94"/>
      <c r="G97" s="94"/>
      <c r="H97" s="95" t="s">
        <v>57</v>
      </c>
      <c r="I97" s="96"/>
      <c r="J97" s="95" t="s">
        <v>56</v>
      </c>
      <c r="K97" s="99"/>
      <c r="L97" s="99"/>
      <c r="M97" s="99"/>
      <c r="N97" s="99"/>
      <c r="O97" s="99"/>
      <c r="P97" s="99"/>
      <c r="Q97" s="100">
        <f>ROUND(M98*J98,3)</f>
        <v>77.61</v>
      </c>
    </row>
    <row r="98" spans="1:17" ht="42" customHeight="1" x14ac:dyDescent="0.25">
      <c r="A98" s="71"/>
      <c r="B98" s="71" t="s">
        <v>55</v>
      </c>
      <c r="C98" s="72"/>
      <c r="D98" s="72"/>
      <c r="E98" s="72"/>
      <c r="F98" s="72"/>
      <c r="G98" s="72"/>
      <c r="H98" s="97"/>
      <c r="I98" s="98"/>
      <c r="J98" s="73">
        <v>30</v>
      </c>
      <c r="K98" s="74"/>
      <c r="L98" s="74"/>
      <c r="M98" s="75">
        <f>ROUND(1*(0.33+4*0.167)*2592/1000,3)</f>
        <v>2.5870000000000002</v>
      </c>
      <c r="N98" s="76"/>
      <c r="O98" s="76"/>
      <c r="P98" s="76"/>
      <c r="Q98" s="101"/>
    </row>
    <row r="99" spans="1:17" ht="29.25" customHeight="1" x14ac:dyDescent="0.25">
      <c r="A99" s="93">
        <v>5</v>
      </c>
      <c r="B99" s="93" t="s">
        <v>58</v>
      </c>
      <c r="C99" s="94"/>
      <c r="D99" s="94"/>
      <c r="E99" s="94"/>
      <c r="F99" s="94"/>
      <c r="G99" s="94"/>
      <c r="H99" s="95" t="s">
        <v>59</v>
      </c>
      <c r="I99" s="96"/>
      <c r="J99" s="95" t="s">
        <v>60</v>
      </c>
      <c r="K99" s="99"/>
      <c r="L99" s="99"/>
      <c r="M99" s="99"/>
      <c r="N99" s="99"/>
      <c r="O99" s="99"/>
      <c r="P99" s="99"/>
      <c r="Q99" s="100">
        <f>ROUND(M100*J100,3)</f>
        <v>13.898999999999999</v>
      </c>
    </row>
    <row r="100" spans="1:17" ht="114" customHeight="1" x14ac:dyDescent="0.25">
      <c r="A100" s="71"/>
      <c r="B100" s="71" t="s">
        <v>61</v>
      </c>
      <c r="C100" s="72"/>
      <c r="D100" s="72"/>
      <c r="E100" s="72"/>
      <c r="F100" s="72"/>
      <c r="G100" s="72"/>
      <c r="H100" s="97"/>
      <c r="I100" s="98"/>
      <c r="J100" s="73">
        <v>1</v>
      </c>
      <c r="K100" s="74"/>
      <c r="L100" s="74"/>
      <c r="M100" s="75">
        <f>ROUND(1*(78+16*(70-20)/5)*14.6*4/1000,3)</f>
        <v>13.898999999999999</v>
      </c>
      <c r="N100" s="76"/>
      <c r="O100" s="76"/>
      <c r="P100" s="76"/>
      <c r="Q100" s="101"/>
    </row>
    <row r="101" spans="1:17" s="7" customFormat="1" ht="19.350000000000001" customHeight="1" x14ac:dyDescent="0.25">
      <c r="A101" s="118" t="s">
        <v>85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20"/>
      <c r="Q101" s="6">
        <f>SUM(Q97:Q100)</f>
        <v>91.509</v>
      </c>
    </row>
    <row r="102" spans="1:17" s="5" customFormat="1" ht="21.75" customHeight="1" x14ac:dyDescent="0.25">
      <c r="A102" s="87" t="s">
        <v>86</v>
      </c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9"/>
    </row>
    <row r="103" spans="1:17" ht="45" customHeight="1" x14ac:dyDescent="0.25">
      <c r="A103" s="93">
        <v>6</v>
      </c>
      <c r="B103" s="93" t="s">
        <v>15</v>
      </c>
      <c r="C103" s="94"/>
      <c r="D103" s="94"/>
      <c r="E103" s="94"/>
      <c r="F103" s="94"/>
      <c r="G103" s="94"/>
      <c r="H103" s="95" t="s">
        <v>62</v>
      </c>
      <c r="I103" s="96"/>
      <c r="J103" s="95" t="s">
        <v>65</v>
      </c>
      <c r="K103" s="99"/>
      <c r="L103" s="99"/>
      <c r="M103" s="99"/>
      <c r="N103" s="99"/>
      <c r="O103" s="99"/>
      <c r="P103" s="99"/>
      <c r="Q103" s="100">
        <f>ROUND(M104*J104,3)</f>
        <v>18.254000000000001</v>
      </c>
    </row>
    <row r="104" spans="1:17" ht="87" customHeight="1" x14ac:dyDescent="0.25">
      <c r="A104" s="71"/>
      <c r="B104" s="71" t="s">
        <v>64</v>
      </c>
      <c r="C104" s="72"/>
      <c r="D104" s="72"/>
      <c r="E104" s="72"/>
      <c r="F104" s="72"/>
      <c r="G104" s="72"/>
      <c r="H104" s="97"/>
      <c r="I104" s="98"/>
      <c r="J104" s="73">
        <v>1</v>
      </c>
      <c r="K104" s="74"/>
      <c r="L104" s="74"/>
      <c r="M104" s="75">
        <f>ROUND(1*(10.62*0.526*1.2+10.62*0.474)*0.6*2592/1000,3)</f>
        <v>18.254000000000001</v>
      </c>
      <c r="N104" s="76"/>
      <c r="O104" s="76"/>
      <c r="P104" s="76"/>
      <c r="Q104" s="101"/>
    </row>
    <row r="105" spans="1:17" ht="30.75" customHeight="1" x14ac:dyDescent="0.25">
      <c r="A105" s="93">
        <v>7</v>
      </c>
      <c r="B105" s="93" t="s">
        <v>15</v>
      </c>
      <c r="C105" s="94"/>
      <c r="D105" s="94"/>
      <c r="E105" s="94"/>
      <c r="F105" s="94"/>
      <c r="G105" s="94"/>
      <c r="H105" s="95" t="s">
        <v>63</v>
      </c>
      <c r="I105" s="96"/>
      <c r="J105" s="95" t="s">
        <v>67</v>
      </c>
      <c r="K105" s="99"/>
      <c r="L105" s="99"/>
      <c r="M105" s="99"/>
      <c r="N105" s="99"/>
      <c r="O105" s="99"/>
      <c r="P105" s="99"/>
      <c r="Q105" s="100">
        <f>ROUND(M106*J106,3)</f>
        <v>21.571000000000002</v>
      </c>
    </row>
    <row r="106" spans="1:17" ht="81" customHeight="1" x14ac:dyDescent="0.25">
      <c r="A106" s="71"/>
      <c r="B106" s="71" t="s">
        <v>66</v>
      </c>
      <c r="C106" s="72"/>
      <c r="D106" s="72"/>
      <c r="E106" s="72"/>
      <c r="F106" s="72"/>
      <c r="G106" s="72"/>
      <c r="H106" s="97"/>
      <c r="I106" s="98"/>
      <c r="J106" s="73">
        <v>1</v>
      </c>
      <c r="K106" s="74"/>
      <c r="L106" s="74"/>
      <c r="M106" s="75">
        <f>ROUND(1*(11.98*0.526*1.3+11.98*0.474)*0.6*2592/1000,3)</f>
        <v>21.571000000000002</v>
      </c>
      <c r="N106" s="76"/>
      <c r="O106" s="76"/>
      <c r="P106" s="76"/>
      <c r="Q106" s="101"/>
    </row>
    <row r="107" spans="1:17" ht="33" customHeight="1" x14ac:dyDescent="0.25">
      <c r="A107" s="93">
        <v>8</v>
      </c>
      <c r="B107" s="93" t="s">
        <v>15</v>
      </c>
      <c r="C107" s="94"/>
      <c r="D107" s="94"/>
      <c r="E107" s="94"/>
      <c r="F107" s="94"/>
      <c r="G107" s="94"/>
      <c r="H107" s="95" t="s">
        <v>68</v>
      </c>
      <c r="I107" s="96"/>
      <c r="J107" s="95" t="s">
        <v>70</v>
      </c>
      <c r="K107" s="99"/>
      <c r="L107" s="99"/>
      <c r="M107" s="99"/>
      <c r="N107" s="99"/>
      <c r="O107" s="99"/>
      <c r="P107" s="99"/>
      <c r="Q107" s="100">
        <f>ROUND(M108*J108,3)</f>
        <v>9.327</v>
      </c>
    </row>
    <row r="108" spans="1:17" ht="78.75" customHeight="1" x14ac:dyDescent="0.25">
      <c r="A108" s="71"/>
      <c r="B108" s="71" t="s">
        <v>69</v>
      </c>
      <c r="C108" s="72"/>
      <c r="D108" s="72"/>
      <c r="E108" s="72"/>
      <c r="F108" s="72"/>
      <c r="G108" s="72"/>
      <c r="H108" s="97"/>
      <c r="I108" s="98"/>
      <c r="J108" s="73">
        <v>1</v>
      </c>
      <c r="K108" s="74"/>
      <c r="L108" s="74"/>
      <c r="M108" s="75">
        <f>ROUND(1*(5.18*0.526*1.3+5.18*0.474)*0.6*2592/1000,3)</f>
        <v>9.327</v>
      </c>
      <c r="N108" s="76"/>
      <c r="O108" s="76"/>
      <c r="P108" s="76"/>
      <c r="Q108" s="101"/>
    </row>
    <row r="109" spans="1:17" s="25" customFormat="1" ht="32.25" customHeight="1" x14ac:dyDescent="0.25">
      <c r="A109" s="121">
        <v>9</v>
      </c>
      <c r="B109" s="121" t="s">
        <v>15</v>
      </c>
      <c r="C109" s="123"/>
      <c r="D109" s="123"/>
      <c r="E109" s="123"/>
      <c r="F109" s="123"/>
      <c r="G109" s="123"/>
      <c r="H109" s="124" t="s">
        <v>71</v>
      </c>
      <c r="I109" s="125"/>
      <c r="J109" s="124" t="s">
        <v>72</v>
      </c>
      <c r="K109" s="128"/>
      <c r="L109" s="128"/>
      <c r="M109" s="128"/>
      <c r="N109" s="128"/>
      <c r="O109" s="128"/>
      <c r="P109" s="128"/>
      <c r="Q109" s="129">
        <f>ROUND(M110*J110,3)</f>
        <v>6.7679999999999998</v>
      </c>
    </row>
    <row r="110" spans="1:17" s="25" customFormat="1" ht="103.5" customHeight="1" x14ac:dyDescent="0.25">
      <c r="A110" s="122"/>
      <c r="B110" s="122" t="s">
        <v>75</v>
      </c>
      <c r="C110" s="131"/>
      <c r="D110" s="131"/>
      <c r="E110" s="131"/>
      <c r="F110" s="131"/>
      <c r="G110" s="131"/>
      <c r="H110" s="126"/>
      <c r="I110" s="127"/>
      <c r="J110" s="132">
        <v>8</v>
      </c>
      <c r="K110" s="133"/>
      <c r="L110" s="133"/>
      <c r="M110" s="134">
        <f>ROUND(1*(0.47*0.526*1.3+0.47*0.474)*0.6*2592/1000,3)</f>
        <v>0.84599999999999997</v>
      </c>
      <c r="N110" s="135"/>
      <c r="O110" s="135"/>
      <c r="P110" s="135"/>
      <c r="Q110" s="130"/>
    </row>
    <row r="111" spans="1:17" s="25" customFormat="1" ht="30.75" customHeight="1" x14ac:dyDescent="0.25">
      <c r="A111" s="121">
        <v>10</v>
      </c>
      <c r="B111" s="121" t="s">
        <v>15</v>
      </c>
      <c r="C111" s="123"/>
      <c r="D111" s="123"/>
      <c r="E111" s="123"/>
      <c r="F111" s="123"/>
      <c r="G111" s="123"/>
      <c r="H111" s="124" t="s">
        <v>73</v>
      </c>
      <c r="I111" s="125"/>
      <c r="J111" s="124" t="s">
        <v>74</v>
      </c>
      <c r="K111" s="128"/>
      <c r="L111" s="128"/>
      <c r="M111" s="128"/>
      <c r="N111" s="128"/>
      <c r="O111" s="128"/>
      <c r="P111" s="128"/>
      <c r="Q111" s="129">
        <f>ROUND(M112*J112,3)</f>
        <v>3.528</v>
      </c>
    </row>
    <row r="112" spans="1:17" s="25" customFormat="1" ht="92.25" customHeight="1" x14ac:dyDescent="0.25">
      <c r="A112" s="122"/>
      <c r="B112" s="122" t="s">
        <v>76</v>
      </c>
      <c r="C112" s="131"/>
      <c r="D112" s="131"/>
      <c r="E112" s="131"/>
      <c r="F112" s="131"/>
      <c r="G112" s="131"/>
      <c r="H112" s="126"/>
      <c r="I112" s="127"/>
      <c r="J112" s="132">
        <v>7</v>
      </c>
      <c r="K112" s="133"/>
      <c r="L112" s="133"/>
      <c r="M112" s="134">
        <f>ROUND(1*(0.28*0.526*1.3+0.28*0.474)*0.6*2592/1000,3)</f>
        <v>0.504</v>
      </c>
      <c r="N112" s="135"/>
      <c r="O112" s="135"/>
      <c r="P112" s="135"/>
      <c r="Q112" s="130"/>
    </row>
    <row r="113" spans="1:17" s="25" customFormat="1" ht="33.75" customHeight="1" x14ac:dyDescent="0.25">
      <c r="A113" s="121">
        <v>11</v>
      </c>
      <c r="B113" s="121" t="s">
        <v>15</v>
      </c>
      <c r="C113" s="123"/>
      <c r="D113" s="123"/>
      <c r="E113" s="123"/>
      <c r="F113" s="123"/>
      <c r="G113" s="123"/>
      <c r="H113" s="124" t="s">
        <v>77</v>
      </c>
      <c r="I113" s="125"/>
      <c r="J113" s="124" t="s">
        <v>79</v>
      </c>
      <c r="K113" s="128"/>
      <c r="L113" s="128"/>
      <c r="M113" s="128"/>
      <c r="N113" s="128"/>
      <c r="O113" s="128"/>
      <c r="P113" s="128"/>
      <c r="Q113" s="129">
        <f>ROUND(M114*J114,3)</f>
        <v>15.757</v>
      </c>
    </row>
    <row r="114" spans="1:17" s="25" customFormat="1" ht="121.5" customHeight="1" x14ac:dyDescent="0.25">
      <c r="A114" s="122"/>
      <c r="B114" s="122" t="s">
        <v>78</v>
      </c>
      <c r="C114" s="131"/>
      <c r="D114" s="131"/>
      <c r="E114" s="131"/>
      <c r="F114" s="131"/>
      <c r="G114" s="131"/>
      <c r="H114" s="126"/>
      <c r="I114" s="127"/>
      <c r="J114" s="132">
        <v>7</v>
      </c>
      <c r="K114" s="133"/>
      <c r="L114" s="133"/>
      <c r="M114" s="134">
        <f>ROUND(1*(1.25*0.526*1.3+1.25*0.474)*0.6*2592/1000,3)</f>
        <v>2.2509999999999999</v>
      </c>
      <c r="N114" s="135"/>
      <c r="O114" s="135"/>
      <c r="P114" s="135"/>
      <c r="Q114" s="130"/>
    </row>
    <row r="115" spans="1:17" s="25" customFormat="1" ht="32.25" customHeight="1" x14ac:dyDescent="0.25">
      <c r="A115" s="121">
        <v>12</v>
      </c>
      <c r="B115" s="121" t="s">
        <v>15</v>
      </c>
      <c r="C115" s="123"/>
      <c r="D115" s="123"/>
      <c r="E115" s="123"/>
      <c r="F115" s="123"/>
      <c r="G115" s="123"/>
      <c r="H115" s="124" t="s">
        <v>77</v>
      </c>
      <c r="I115" s="125"/>
      <c r="J115" s="124" t="s">
        <v>81</v>
      </c>
      <c r="K115" s="128"/>
      <c r="L115" s="128"/>
      <c r="M115" s="128"/>
      <c r="N115" s="128"/>
      <c r="O115" s="128"/>
      <c r="P115" s="128"/>
      <c r="Q115" s="129">
        <f>ROUND(M116*J116,3)</f>
        <v>4.59</v>
      </c>
    </row>
    <row r="116" spans="1:17" s="25" customFormat="1" ht="96.75" customHeight="1" x14ac:dyDescent="0.25">
      <c r="A116" s="122"/>
      <c r="B116" s="122" t="s">
        <v>80</v>
      </c>
      <c r="C116" s="131"/>
      <c r="D116" s="131"/>
      <c r="E116" s="131"/>
      <c r="F116" s="131"/>
      <c r="G116" s="131"/>
      <c r="H116" s="126"/>
      <c r="I116" s="127"/>
      <c r="J116" s="132">
        <v>5</v>
      </c>
      <c r="K116" s="133"/>
      <c r="L116" s="133"/>
      <c r="M116" s="134">
        <f>ROUND(1*(0.51*0.526*1.3+0.51*0.474)*0.6*2592/1000,3)</f>
        <v>0.91800000000000004</v>
      </c>
      <c r="N116" s="135"/>
      <c r="O116" s="135"/>
      <c r="P116" s="135"/>
      <c r="Q116" s="130"/>
    </row>
    <row r="117" spans="1:17" s="7" customFormat="1" ht="19.350000000000001" customHeight="1" x14ac:dyDescent="0.25">
      <c r="A117" s="118" t="s">
        <v>87</v>
      </c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  <c r="P117" s="120"/>
      <c r="Q117" s="6">
        <f>SUM(Q103:Q116)</f>
        <v>79.795000000000002</v>
      </c>
    </row>
    <row r="118" spans="1:17" s="5" customFormat="1" ht="21.75" customHeight="1" x14ac:dyDescent="0.25">
      <c r="A118" s="87" t="s">
        <v>129</v>
      </c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9"/>
    </row>
    <row r="119" spans="1:17" s="25" customFormat="1" ht="32.25" customHeight="1" x14ac:dyDescent="0.25">
      <c r="A119" s="121">
        <v>13</v>
      </c>
      <c r="B119" s="121" t="s">
        <v>15</v>
      </c>
      <c r="C119" s="123"/>
      <c r="D119" s="123"/>
      <c r="E119" s="123"/>
      <c r="F119" s="123"/>
      <c r="G119" s="123"/>
      <c r="H119" s="124" t="s">
        <v>132</v>
      </c>
      <c r="I119" s="125"/>
      <c r="J119" s="124" t="s">
        <v>134</v>
      </c>
      <c r="K119" s="128"/>
      <c r="L119" s="128"/>
      <c r="M119" s="128"/>
      <c r="N119" s="128"/>
      <c r="O119" s="128"/>
      <c r="P119" s="128"/>
      <c r="Q119" s="129">
        <f>ROUND(M120*J120,3)</f>
        <v>4.2</v>
      </c>
    </row>
    <row r="120" spans="1:17" s="25" customFormat="1" ht="45" customHeight="1" x14ac:dyDescent="0.25">
      <c r="A120" s="122"/>
      <c r="B120" s="122" t="s">
        <v>133</v>
      </c>
      <c r="C120" s="131"/>
      <c r="D120" s="131"/>
      <c r="E120" s="131"/>
      <c r="F120" s="131"/>
      <c r="G120" s="131"/>
      <c r="H120" s="126"/>
      <c r="I120" s="127"/>
      <c r="J120" s="132">
        <v>3</v>
      </c>
      <c r="K120" s="133"/>
      <c r="L120" s="133"/>
      <c r="M120" s="134">
        <f>ROUND(1*0.54*2592/1000,3)</f>
        <v>1.4</v>
      </c>
      <c r="N120" s="135"/>
      <c r="O120" s="135"/>
      <c r="P120" s="135"/>
      <c r="Q120" s="130"/>
    </row>
    <row r="121" spans="1:17" s="25" customFormat="1" ht="19.5" customHeight="1" x14ac:dyDescent="0.25">
      <c r="A121" s="121">
        <v>14</v>
      </c>
      <c r="B121" s="121" t="s">
        <v>15</v>
      </c>
      <c r="C121" s="123"/>
      <c r="D121" s="123"/>
      <c r="E121" s="123"/>
      <c r="F121" s="123"/>
      <c r="G121" s="123"/>
      <c r="H121" s="124" t="s">
        <v>135</v>
      </c>
      <c r="I121" s="125"/>
      <c r="J121" s="124" t="s">
        <v>137</v>
      </c>
      <c r="K121" s="128"/>
      <c r="L121" s="128"/>
      <c r="M121" s="128"/>
      <c r="N121" s="128"/>
      <c r="O121" s="128"/>
      <c r="P121" s="128"/>
      <c r="Q121" s="129">
        <f>ROUND(M122*J122,3)</f>
        <v>13.997999999999999</v>
      </c>
    </row>
    <row r="122" spans="1:17" s="25" customFormat="1" ht="81" customHeight="1" x14ac:dyDescent="0.25">
      <c r="A122" s="122"/>
      <c r="B122" s="122" t="s">
        <v>136</v>
      </c>
      <c r="C122" s="131"/>
      <c r="D122" s="131"/>
      <c r="E122" s="131"/>
      <c r="F122" s="131"/>
      <c r="G122" s="131"/>
      <c r="H122" s="126"/>
      <c r="I122" s="127"/>
      <c r="J122" s="132">
        <v>6</v>
      </c>
      <c r="K122" s="133"/>
      <c r="L122" s="133"/>
      <c r="M122" s="134">
        <f>ROUND(1*0.9*2592/1000,3)</f>
        <v>2.3330000000000002</v>
      </c>
      <c r="N122" s="135"/>
      <c r="O122" s="135"/>
      <c r="P122" s="135"/>
      <c r="Q122" s="130"/>
    </row>
    <row r="123" spans="1:17" s="25" customFormat="1" ht="20.25" customHeight="1" x14ac:dyDescent="0.25">
      <c r="A123" s="121">
        <v>15</v>
      </c>
      <c r="B123" s="121" t="s">
        <v>15</v>
      </c>
      <c r="C123" s="123"/>
      <c r="D123" s="123"/>
      <c r="E123" s="123"/>
      <c r="F123" s="123"/>
      <c r="G123" s="123"/>
      <c r="H123" s="124" t="s">
        <v>138</v>
      </c>
      <c r="I123" s="125"/>
      <c r="J123" s="124" t="s">
        <v>140</v>
      </c>
      <c r="K123" s="128"/>
      <c r="L123" s="128"/>
      <c r="M123" s="128"/>
      <c r="N123" s="128"/>
      <c r="O123" s="128"/>
      <c r="P123" s="128"/>
      <c r="Q123" s="129">
        <f>ROUND(M124*J124,3)</f>
        <v>16.875</v>
      </c>
    </row>
    <row r="124" spans="1:17" s="25" customFormat="1" ht="50.25" customHeight="1" x14ac:dyDescent="0.25">
      <c r="A124" s="122"/>
      <c r="B124" s="122" t="s">
        <v>139</v>
      </c>
      <c r="C124" s="131"/>
      <c r="D124" s="131"/>
      <c r="E124" s="131"/>
      <c r="F124" s="131"/>
      <c r="G124" s="131"/>
      <c r="H124" s="126"/>
      <c r="I124" s="127"/>
      <c r="J124" s="132">
        <v>3</v>
      </c>
      <c r="K124" s="133"/>
      <c r="L124" s="133"/>
      <c r="M124" s="134">
        <f>ROUND(1*2.17*2592/1000,3)</f>
        <v>5.625</v>
      </c>
      <c r="N124" s="135"/>
      <c r="O124" s="135"/>
      <c r="P124" s="135"/>
      <c r="Q124" s="130"/>
    </row>
    <row r="125" spans="1:17" s="25" customFormat="1" ht="20.25" customHeight="1" x14ac:dyDescent="0.25">
      <c r="A125" s="121">
        <v>16</v>
      </c>
      <c r="B125" s="121" t="s">
        <v>15</v>
      </c>
      <c r="C125" s="123"/>
      <c r="D125" s="123"/>
      <c r="E125" s="123"/>
      <c r="F125" s="123"/>
      <c r="G125" s="123"/>
      <c r="H125" s="124" t="s">
        <v>135</v>
      </c>
      <c r="I125" s="125"/>
      <c r="J125" s="124" t="s">
        <v>137</v>
      </c>
      <c r="K125" s="128"/>
      <c r="L125" s="128"/>
      <c r="M125" s="128"/>
      <c r="N125" s="128"/>
      <c r="O125" s="128"/>
      <c r="P125" s="128"/>
      <c r="Q125" s="129">
        <f>ROUND(M126*J126,3)</f>
        <v>13.997999999999999</v>
      </c>
    </row>
    <row r="126" spans="1:17" s="25" customFormat="1" ht="87.75" customHeight="1" x14ac:dyDescent="0.25">
      <c r="A126" s="122"/>
      <c r="B126" s="122" t="s">
        <v>141</v>
      </c>
      <c r="C126" s="131"/>
      <c r="D126" s="131"/>
      <c r="E126" s="131"/>
      <c r="F126" s="131"/>
      <c r="G126" s="131"/>
      <c r="H126" s="126"/>
      <c r="I126" s="127"/>
      <c r="J126" s="132">
        <v>6</v>
      </c>
      <c r="K126" s="133"/>
      <c r="L126" s="133"/>
      <c r="M126" s="134">
        <f>ROUND(1*0.9*2592/1000,3)</f>
        <v>2.3330000000000002</v>
      </c>
      <c r="N126" s="135"/>
      <c r="O126" s="135"/>
      <c r="P126" s="135"/>
      <c r="Q126" s="130"/>
    </row>
    <row r="127" spans="1:17" s="25" customFormat="1" ht="18" customHeight="1" x14ac:dyDescent="0.25">
      <c r="A127" s="121">
        <v>17</v>
      </c>
      <c r="B127" s="121" t="s">
        <v>15</v>
      </c>
      <c r="C127" s="123"/>
      <c r="D127" s="123"/>
      <c r="E127" s="123"/>
      <c r="F127" s="123"/>
      <c r="G127" s="123"/>
      <c r="H127" s="124" t="s">
        <v>142</v>
      </c>
      <c r="I127" s="125"/>
      <c r="J127" s="124" t="s">
        <v>144</v>
      </c>
      <c r="K127" s="128"/>
      <c r="L127" s="128"/>
      <c r="M127" s="128"/>
      <c r="N127" s="128"/>
      <c r="O127" s="128"/>
      <c r="P127" s="128"/>
      <c r="Q127" s="129">
        <f>ROUND(M128*J128,3)</f>
        <v>83.397999999999996</v>
      </c>
    </row>
    <row r="128" spans="1:17" s="25" customFormat="1" ht="74.25" customHeight="1" x14ac:dyDescent="0.25">
      <c r="A128" s="122"/>
      <c r="B128" s="122" t="s">
        <v>143</v>
      </c>
      <c r="C128" s="131"/>
      <c r="D128" s="131"/>
      <c r="E128" s="131"/>
      <c r="F128" s="131"/>
      <c r="G128" s="131"/>
      <c r="H128" s="126"/>
      <c r="I128" s="127"/>
      <c r="J128" s="132">
        <v>1</v>
      </c>
      <c r="K128" s="133"/>
      <c r="L128" s="133"/>
      <c r="M128" s="134">
        <f>ROUND(1*24.75*1.3*2592/1000,3)</f>
        <v>83.397999999999996</v>
      </c>
      <c r="N128" s="135"/>
      <c r="O128" s="135"/>
      <c r="P128" s="135"/>
      <c r="Q128" s="130"/>
    </row>
    <row r="129" spans="1:17" s="25" customFormat="1" ht="23.25" customHeight="1" x14ac:dyDescent="0.25">
      <c r="A129" s="121">
        <v>18</v>
      </c>
      <c r="B129" s="121" t="s">
        <v>15</v>
      </c>
      <c r="C129" s="123"/>
      <c r="D129" s="123"/>
      <c r="E129" s="123"/>
      <c r="F129" s="123"/>
      <c r="G129" s="123"/>
      <c r="H129" s="124" t="s">
        <v>145</v>
      </c>
      <c r="I129" s="125"/>
      <c r="J129" s="124" t="s">
        <v>147</v>
      </c>
      <c r="K129" s="128"/>
      <c r="L129" s="128"/>
      <c r="M129" s="128"/>
      <c r="N129" s="128"/>
      <c r="O129" s="128"/>
      <c r="P129" s="128"/>
      <c r="Q129" s="129">
        <f>ROUND(M130*J130,3)</f>
        <v>188.85300000000001</v>
      </c>
    </row>
    <row r="130" spans="1:17" s="25" customFormat="1" ht="95.25" customHeight="1" x14ac:dyDescent="0.25">
      <c r="A130" s="122"/>
      <c r="B130" s="122" t="s">
        <v>146</v>
      </c>
      <c r="C130" s="131"/>
      <c r="D130" s="131"/>
      <c r="E130" s="131"/>
      <c r="F130" s="131"/>
      <c r="G130" s="131"/>
      <c r="H130" s="126"/>
      <c r="I130" s="127"/>
      <c r="J130" s="132">
        <v>1</v>
      </c>
      <c r="K130" s="133"/>
      <c r="L130" s="133"/>
      <c r="M130" s="134">
        <f>ROUND(1*72.86*2592/1000,3)</f>
        <v>188.85300000000001</v>
      </c>
      <c r="N130" s="135"/>
      <c r="O130" s="135"/>
      <c r="P130" s="135"/>
      <c r="Q130" s="130"/>
    </row>
    <row r="131" spans="1:17" s="25" customFormat="1" ht="32.25" customHeight="1" x14ac:dyDescent="0.25">
      <c r="A131" s="121">
        <v>19</v>
      </c>
      <c r="B131" s="121" t="s">
        <v>58</v>
      </c>
      <c r="C131" s="123"/>
      <c r="D131" s="123"/>
      <c r="E131" s="123"/>
      <c r="F131" s="123"/>
      <c r="G131" s="123"/>
      <c r="H131" s="124" t="s">
        <v>150</v>
      </c>
      <c r="I131" s="125"/>
      <c r="J131" s="124" t="s">
        <v>149</v>
      </c>
      <c r="K131" s="128"/>
      <c r="L131" s="128"/>
      <c r="M131" s="128"/>
      <c r="N131" s="128"/>
      <c r="O131" s="128"/>
      <c r="P131" s="128"/>
      <c r="Q131" s="129">
        <f>ROUND(M132*J132,3)</f>
        <v>81.555000000000007</v>
      </c>
    </row>
    <row r="132" spans="1:17" s="25" customFormat="1" ht="60" customHeight="1" x14ac:dyDescent="0.25">
      <c r="A132" s="122"/>
      <c r="B132" s="122" t="s">
        <v>148</v>
      </c>
      <c r="C132" s="131"/>
      <c r="D132" s="131"/>
      <c r="E132" s="131"/>
      <c r="F132" s="131"/>
      <c r="G132" s="131"/>
      <c r="H132" s="126"/>
      <c r="I132" s="127"/>
      <c r="J132" s="132">
        <v>3</v>
      </c>
      <c r="K132" s="133"/>
      <c r="L132" s="133"/>
      <c r="M132" s="134">
        <f>ROUND(1*(110+185*3)*0.7*14.6*4/1000,3)</f>
        <v>27.184999999999999</v>
      </c>
      <c r="N132" s="135"/>
      <c r="O132" s="135"/>
      <c r="P132" s="135"/>
      <c r="Q132" s="130"/>
    </row>
    <row r="133" spans="1:17" ht="25.5" customHeight="1" x14ac:dyDescent="0.25">
      <c r="A133" s="93">
        <v>20</v>
      </c>
      <c r="B133" s="93" t="s">
        <v>15</v>
      </c>
      <c r="C133" s="94"/>
      <c r="D133" s="94"/>
      <c r="E133" s="94"/>
      <c r="F133" s="94"/>
      <c r="G133" s="94"/>
      <c r="H133" s="95" t="s">
        <v>154</v>
      </c>
      <c r="I133" s="96"/>
      <c r="J133" s="95" t="s">
        <v>156</v>
      </c>
      <c r="K133" s="99"/>
      <c r="L133" s="99"/>
      <c r="M133" s="99"/>
      <c r="N133" s="99"/>
      <c r="O133" s="99"/>
      <c r="P133" s="99"/>
      <c r="Q133" s="100">
        <f>ROUND(M134*J134,3)</f>
        <v>37.978000000000002</v>
      </c>
    </row>
    <row r="134" spans="1:17" ht="146.25" customHeight="1" x14ac:dyDescent="0.25">
      <c r="A134" s="71"/>
      <c r="B134" s="71" t="s">
        <v>155</v>
      </c>
      <c r="C134" s="72"/>
      <c r="D134" s="72"/>
      <c r="E134" s="72"/>
      <c r="F134" s="72"/>
      <c r="G134" s="72"/>
      <c r="H134" s="97"/>
      <c r="I134" s="98"/>
      <c r="J134" s="73">
        <v>0.25</v>
      </c>
      <c r="K134" s="74"/>
      <c r="L134" s="74"/>
      <c r="M134" s="75">
        <f>ROUND(1*53.28*1.1*2592/1000,3)</f>
        <v>151.91200000000001</v>
      </c>
      <c r="N134" s="76"/>
      <c r="O134" s="76"/>
      <c r="P134" s="76"/>
      <c r="Q134" s="101"/>
    </row>
    <row r="135" spans="1:17" ht="25.5" customHeight="1" x14ac:dyDescent="0.25">
      <c r="A135" s="93">
        <v>21</v>
      </c>
      <c r="B135" s="93" t="s">
        <v>15</v>
      </c>
      <c r="C135" s="94"/>
      <c r="D135" s="94"/>
      <c r="E135" s="94"/>
      <c r="F135" s="94"/>
      <c r="G135" s="94"/>
      <c r="H135" s="95" t="s">
        <v>126</v>
      </c>
      <c r="I135" s="96"/>
      <c r="J135" s="95" t="s">
        <v>153</v>
      </c>
      <c r="K135" s="99"/>
      <c r="L135" s="99"/>
      <c r="M135" s="99"/>
      <c r="N135" s="99"/>
      <c r="O135" s="99"/>
      <c r="P135" s="99"/>
      <c r="Q135" s="100">
        <f>ROUND(M136*J136,3)</f>
        <v>22.308</v>
      </c>
    </row>
    <row r="136" spans="1:17" ht="108.75" customHeight="1" x14ac:dyDescent="0.25">
      <c r="A136" s="71"/>
      <c r="B136" s="71" t="s">
        <v>152</v>
      </c>
      <c r="C136" s="72"/>
      <c r="D136" s="72"/>
      <c r="E136" s="72"/>
      <c r="F136" s="72"/>
      <c r="G136" s="72"/>
      <c r="H136" s="97"/>
      <c r="I136" s="98"/>
      <c r="J136" s="73">
        <v>0.2</v>
      </c>
      <c r="K136" s="74"/>
      <c r="L136" s="74"/>
      <c r="M136" s="75">
        <f>ROUND(1*39.12*1.1*2592/1000,3)</f>
        <v>111.539</v>
      </c>
      <c r="N136" s="76"/>
      <c r="O136" s="76"/>
      <c r="P136" s="76"/>
      <c r="Q136" s="101"/>
    </row>
    <row r="137" spans="1:17" s="7" customFormat="1" ht="19.350000000000001" customHeight="1" x14ac:dyDescent="0.25">
      <c r="A137" s="118" t="s">
        <v>119</v>
      </c>
      <c r="B137" s="119"/>
      <c r="C137" s="119"/>
      <c r="D137" s="119"/>
      <c r="E137" s="119"/>
      <c r="F137" s="119"/>
      <c r="G137" s="119"/>
      <c r="H137" s="119"/>
      <c r="I137" s="119"/>
      <c r="J137" s="119"/>
      <c r="K137" s="119"/>
      <c r="L137" s="119"/>
      <c r="M137" s="119"/>
      <c r="N137" s="119"/>
      <c r="O137" s="119"/>
      <c r="P137" s="120"/>
      <c r="Q137" s="6">
        <f>SUM(Q119:Q136)</f>
        <v>463.16300000000001</v>
      </c>
    </row>
    <row r="138" spans="1:17" s="5" customFormat="1" ht="21.75" customHeight="1" x14ac:dyDescent="0.25">
      <c r="A138" s="87" t="s">
        <v>120</v>
      </c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9"/>
    </row>
    <row r="139" spans="1:17" ht="77.25" customHeight="1" x14ac:dyDescent="0.25">
      <c r="A139" s="93">
        <v>22</v>
      </c>
      <c r="B139" s="93" t="s">
        <v>88</v>
      </c>
      <c r="C139" s="94"/>
      <c r="D139" s="94"/>
      <c r="E139" s="94"/>
      <c r="F139" s="94"/>
      <c r="G139" s="94"/>
      <c r="H139" s="95" t="s">
        <v>89</v>
      </c>
      <c r="I139" s="96"/>
      <c r="J139" s="95" t="s">
        <v>90</v>
      </c>
      <c r="K139" s="99"/>
      <c r="L139" s="99"/>
      <c r="M139" s="99"/>
      <c r="N139" s="99"/>
      <c r="O139" s="99"/>
      <c r="P139" s="99"/>
      <c r="Q139" s="100">
        <f>ROUND(M140*J140,3)</f>
        <v>15.696</v>
      </c>
    </row>
    <row r="140" spans="1:17" ht="48.75" customHeight="1" x14ac:dyDescent="0.25">
      <c r="A140" s="71"/>
      <c r="B140" s="71" t="s">
        <v>91</v>
      </c>
      <c r="C140" s="72"/>
      <c r="D140" s="72"/>
      <c r="E140" s="72"/>
      <c r="F140" s="72"/>
      <c r="G140" s="72"/>
      <c r="H140" s="97"/>
      <c r="I140" s="98"/>
      <c r="J140" s="73">
        <v>18</v>
      </c>
      <c r="K140" s="74"/>
      <c r="L140" s="74"/>
      <c r="M140" s="75">
        <f>ROUND(1*(146+84)*3.79/1000,3)</f>
        <v>0.872</v>
      </c>
      <c r="N140" s="76"/>
      <c r="O140" s="76"/>
      <c r="P140" s="76"/>
      <c r="Q140" s="101"/>
    </row>
    <row r="141" spans="1:17" ht="78.75" customHeight="1" x14ac:dyDescent="0.25">
      <c r="A141" s="93">
        <v>23</v>
      </c>
      <c r="B141" s="93" t="s">
        <v>88</v>
      </c>
      <c r="C141" s="94"/>
      <c r="D141" s="94"/>
      <c r="E141" s="94"/>
      <c r="F141" s="94"/>
      <c r="G141" s="94"/>
      <c r="H141" s="95" t="s">
        <v>92</v>
      </c>
      <c r="I141" s="96"/>
      <c r="J141" s="95" t="s">
        <v>93</v>
      </c>
      <c r="K141" s="99"/>
      <c r="L141" s="99"/>
      <c r="M141" s="99"/>
      <c r="N141" s="99"/>
      <c r="O141" s="99"/>
      <c r="P141" s="99"/>
      <c r="Q141" s="100">
        <f>ROUND(M142*J142,3)</f>
        <v>6.1740000000000004</v>
      </c>
    </row>
    <row r="142" spans="1:17" ht="99" customHeight="1" x14ac:dyDescent="0.25">
      <c r="A142" s="71"/>
      <c r="B142" s="71" t="s">
        <v>94</v>
      </c>
      <c r="C142" s="72"/>
      <c r="D142" s="72"/>
      <c r="E142" s="72"/>
      <c r="F142" s="72"/>
      <c r="G142" s="72"/>
      <c r="H142" s="97"/>
      <c r="I142" s="98"/>
      <c r="J142" s="73">
        <v>3</v>
      </c>
      <c r="K142" s="74"/>
      <c r="L142" s="74"/>
      <c r="M142" s="75">
        <f>ROUND(1*362*1.5*3.79/1000,3)</f>
        <v>2.0579999999999998</v>
      </c>
      <c r="N142" s="76"/>
      <c r="O142" s="76"/>
      <c r="P142" s="76"/>
      <c r="Q142" s="101"/>
    </row>
    <row r="143" spans="1:17" ht="81" customHeight="1" x14ac:dyDescent="0.25">
      <c r="A143" s="93">
        <v>24</v>
      </c>
      <c r="B143" s="93" t="s">
        <v>88</v>
      </c>
      <c r="C143" s="94"/>
      <c r="D143" s="94"/>
      <c r="E143" s="94"/>
      <c r="F143" s="94"/>
      <c r="G143" s="94"/>
      <c r="H143" s="95" t="s">
        <v>95</v>
      </c>
      <c r="I143" s="96"/>
      <c r="J143" s="95" t="s">
        <v>96</v>
      </c>
      <c r="K143" s="99"/>
      <c r="L143" s="99"/>
      <c r="M143" s="99"/>
      <c r="N143" s="99"/>
      <c r="O143" s="99"/>
      <c r="P143" s="99"/>
      <c r="Q143" s="100">
        <f>ROUND(M144*J144,3)</f>
        <v>0.71699999999999997</v>
      </c>
    </row>
    <row r="144" spans="1:17" ht="92.25" customHeight="1" x14ac:dyDescent="0.25">
      <c r="A144" s="71"/>
      <c r="B144" s="71" t="s">
        <v>97</v>
      </c>
      <c r="C144" s="72"/>
      <c r="D144" s="72"/>
      <c r="E144" s="72"/>
      <c r="F144" s="72"/>
      <c r="G144" s="72"/>
      <c r="H144" s="97"/>
      <c r="I144" s="98"/>
      <c r="J144" s="73">
        <v>3</v>
      </c>
      <c r="K144" s="74"/>
      <c r="L144" s="74"/>
      <c r="M144" s="75">
        <f>ROUND(1*63*3.79/1000,3)</f>
        <v>0.23899999999999999</v>
      </c>
      <c r="N144" s="76"/>
      <c r="O144" s="76"/>
      <c r="P144" s="76"/>
      <c r="Q144" s="101"/>
    </row>
    <row r="145" spans="1:17" ht="81" customHeight="1" x14ac:dyDescent="0.25">
      <c r="A145" s="93">
        <v>25</v>
      </c>
      <c r="B145" s="93" t="s">
        <v>88</v>
      </c>
      <c r="C145" s="94"/>
      <c r="D145" s="94"/>
      <c r="E145" s="94"/>
      <c r="F145" s="94"/>
      <c r="G145" s="94"/>
      <c r="H145" s="95" t="s">
        <v>95</v>
      </c>
      <c r="I145" s="96"/>
      <c r="J145" s="95" t="s">
        <v>96</v>
      </c>
      <c r="K145" s="99"/>
      <c r="L145" s="99"/>
      <c r="M145" s="99"/>
      <c r="N145" s="99"/>
      <c r="O145" s="99"/>
      <c r="P145" s="99"/>
      <c r="Q145" s="100">
        <f>ROUND(M146*J146,3)</f>
        <v>0.23899999999999999</v>
      </c>
    </row>
    <row r="146" spans="1:17" ht="98.25" customHeight="1" x14ac:dyDescent="0.25">
      <c r="A146" s="71"/>
      <c r="B146" s="71" t="s">
        <v>98</v>
      </c>
      <c r="C146" s="72"/>
      <c r="D146" s="72"/>
      <c r="E146" s="72"/>
      <c r="F146" s="72"/>
      <c r="G146" s="72"/>
      <c r="H146" s="97"/>
      <c r="I146" s="98"/>
      <c r="J146" s="73">
        <v>1</v>
      </c>
      <c r="K146" s="74"/>
      <c r="L146" s="74"/>
      <c r="M146" s="75">
        <f>ROUND(1*63*3.79/1000,3)</f>
        <v>0.23899999999999999</v>
      </c>
      <c r="N146" s="76"/>
      <c r="O146" s="76"/>
      <c r="P146" s="76"/>
      <c r="Q146" s="101"/>
    </row>
    <row r="147" spans="1:17" ht="79.5" customHeight="1" x14ac:dyDescent="0.25">
      <c r="A147" s="93">
        <v>26</v>
      </c>
      <c r="B147" s="93" t="s">
        <v>88</v>
      </c>
      <c r="C147" s="94"/>
      <c r="D147" s="94"/>
      <c r="E147" s="94"/>
      <c r="F147" s="94"/>
      <c r="G147" s="94"/>
      <c r="H147" s="95" t="s">
        <v>99</v>
      </c>
      <c r="I147" s="96"/>
      <c r="J147" s="95" t="s">
        <v>100</v>
      </c>
      <c r="K147" s="99"/>
      <c r="L147" s="99"/>
      <c r="M147" s="99"/>
      <c r="N147" s="99"/>
      <c r="O147" s="99"/>
      <c r="P147" s="99"/>
      <c r="Q147" s="100">
        <f>ROUND(M148*J148,3)</f>
        <v>1.651</v>
      </c>
    </row>
    <row r="148" spans="1:17" ht="57.75" customHeight="1" x14ac:dyDescent="0.25">
      <c r="A148" s="71"/>
      <c r="B148" s="71" t="s">
        <v>101</v>
      </c>
      <c r="C148" s="72"/>
      <c r="D148" s="72"/>
      <c r="E148" s="72"/>
      <c r="F148" s="72"/>
      <c r="G148" s="72"/>
      <c r="H148" s="97"/>
      <c r="I148" s="98"/>
      <c r="J148" s="73">
        <v>1.2</v>
      </c>
      <c r="K148" s="74"/>
      <c r="L148" s="74"/>
      <c r="M148" s="75">
        <f>ROUND(1*242*1.5*3.79/1000,3)</f>
        <v>1.3759999999999999</v>
      </c>
      <c r="N148" s="76"/>
      <c r="O148" s="76"/>
      <c r="P148" s="76"/>
      <c r="Q148" s="101"/>
    </row>
    <row r="149" spans="1:17" ht="81" customHeight="1" x14ac:dyDescent="0.25">
      <c r="A149" s="93">
        <v>27</v>
      </c>
      <c r="B149" s="93" t="s">
        <v>88</v>
      </c>
      <c r="C149" s="94"/>
      <c r="D149" s="94"/>
      <c r="E149" s="94"/>
      <c r="F149" s="94"/>
      <c r="G149" s="94"/>
      <c r="H149" s="95" t="s">
        <v>102</v>
      </c>
      <c r="I149" s="96"/>
      <c r="J149" s="95" t="s">
        <v>103</v>
      </c>
      <c r="K149" s="99"/>
      <c r="L149" s="99"/>
      <c r="M149" s="99"/>
      <c r="N149" s="99"/>
      <c r="O149" s="99"/>
      <c r="P149" s="99"/>
      <c r="Q149" s="100">
        <f>ROUND(M150*J150,3)</f>
        <v>29.04</v>
      </c>
    </row>
    <row r="150" spans="1:17" ht="108" customHeight="1" x14ac:dyDescent="0.25">
      <c r="A150" s="71"/>
      <c r="B150" s="71" t="s">
        <v>118</v>
      </c>
      <c r="C150" s="72"/>
      <c r="D150" s="72"/>
      <c r="E150" s="72"/>
      <c r="F150" s="72"/>
      <c r="G150" s="72"/>
      <c r="H150" s="97"/>
      <c r="I150" s="98"/>
      <c r="J150" s="73">
        <v>6</v>
      </c>
      <c r="K150" s="74"/>
      <c r="L150" s="74"/>
      <c r="M150" s="75">
        <f>ROUND(1*1277*3.79/1000,3)</f>
        <v>4.84</v>
      </c>
      <c r="N150" s="76"/>
      <c r="O150" s="76"/>
      <c r="P150" s="76"/>
      <c r="Q150" s="101"/>
    </row>
    <row r="151" spans="1:17" ht="78" customHeight="1" x14ac:dyDescent="0.25">
      <c r="A151" s="93">
        <v>28</v>
      </c>
      <c r="B151" s="93" t="s">
        <v>88</v>
      </c>
      <c r="C151" s="94"/>
      <c r="D151" s="94"/>
      <c r="E151" s="94"/>
      <c r="F151" s="94"/>
      <c r="G151" s="94"/>
      <c r="H151" s="95" t="s">
        <v>104</v>
      </c>
      <c r="I151" s="96"/>
      <c r="J151" s="95" t="s">
        <v>105</v>
      </c>
      <c r="K151" s="99"/>
      <c r="L151" s="99"/>
      <c r="M151" s="99"/>
      <c r="N151" s="99"/>
      <c r="O151" s="99"/>
      <c r="P151" s="99"/>
      <c r="Q151" s="100">
        <f>ROUND(M152*J152,3)</f>
        <v>2.4649999999999999</v>
      </c>
    </row>
    <row r="152" spans="1:17" ht="57.75" customHeight="1" x14ac:dyDescent="0.25">
      <c r="A152" s="71"/>
      <c r="B152" s="71" t="s">
        <v>106</v>
      </c>
      <c r="C152" s="72"/>
      <c r="D152" s="72"/>
      <c r="E152" s="72"/>
      <c r="F152" s="72"/>
      <c r="G152" s="72"/>
      <c r="H152" s="97"/>
      <c r="I152" s="98"/>
      <c r="J152" s="73">
        <v>5</v>
      </c>
      <c r="K152" s="74"/>
      <c r="L152" s="74"/>
      <c r="M152" s="75">
        <f>ROUND(1*130*3.79/1000,3)</f>
        <v>0.49299999999999999</v>
      </c>
      <c r="N152" s="76"/>
      <c r="O152" s="76"/>
      <c r="P152" s="76"/>
      <c r="Q152" s="101"/>
    </row>
    <row r="153" spans="1:17" ht="81.75" customHeight="1" x14ac:dyDescent="0.25">
      <c r="A153" s="93">
        <v>29</v>
      </c>
      <c r="B153" s="93" t="s">
        <v>88</v>
      </c>
      <c r="C153" s="94"/>
      <c r="D153" s="94"/>
      <c r="E153" s="94"/>
      <c r="F153" s="94"/>
      <c r="G153" s="94"/>
      <c r="H153" s="95" t="s">
        <v>107</v>
      </c>
      <c r="I153" s="96"/>
      <c r="J153" s="95" t="s">
        <v>90</v>
      </c>
      <c r="K153" s="99"/>
      <c r="L153" s="99"/>
      <c r="M153" s="99"/>
      <c r="N153" s="99"/>
      <c r="O153" s="99"/>
      <c r="P153" s="99"/>
      <c r="Q153" s="100">
        <f>ROUND(M154*J154,3)</f>
        <v>4.3600000000000003</v>
      </c>
    </row>
    <row r="154" spans="1:17" ht="47.25" customHeight="1" x14ac:dyDescent="0.25">
      <c r="A154" s="71"/>
      <c r="B154" s="71" t="s">
        <v>108</v>
      </c>
      <c r="C154" s="72"/>
      <c r="D154" s="72"/>
      <c r="E154" s="72"/>
      <c r="F154" s="72"/>
      <c r="G154" s="72"/>
      <c r="H154" s="97"/>
      <c r="I154" s="98"/>
      <c r="J154" s="73">
        <v>5</v>
      </c>
      <c r="K154" s="74"/>
      <c r="L154" s="74"/>
      <c r="M154" s="75">
        <f>ROUND(1*(146+84)*3.79/1000,3)</f>
        <v>0.872</v>
      </c>
      <c r="N154" s="76"/>
      <c r="O154" s="76"/>
      <c r="P154" s="76"/>
      <c r="Q154" s="101"/>
    </row>
    <row r="155" spans="1:17" ht="79.5" customHeight="1" x14ac:dyDescent="0.25">
      <c r="A155" s="93">
        <v>30</v>
      </c>
      <c r="B155" s="93" t="s">
        <v>88</v>
      </c>
      <c r="C155" s="94"/>
      <c r="D155" s="94"/>
      <c r="E155" s="94"/>
      <c r="F155" s="94"/>
      <c r="G155" s="94"/>
      <c r="H155" s="95" t="s">
        <v>109</v>
      </c>
      <c r="I155" s="96"/>
      <c r="J155" s="95" t="s">
        <v>110</v>
      </c>
      <c r="K155" s="99"/>
      <c r="L155" s="99"/>
      <c r="M155" s="99"/>
      <c r="N155" s="99"/>
      <c r="O155" s="99"/>
      <c r="P155" s="99"/>
      <c r="Q155" s="100">
        <f>ROUND(M156*J156,3)</f>
        <v>14.574999999999999</v>
      </c>
    </row>
    <row r="156" spans="1:17" ht="81.75" customHeight="1" x14ac:dyDescent="0.25">
      <c r="A156" s="71"/>
      <c r="B156" s="71" t="s">
        <v>111</v>
      </c>
      <c r="C156" s="72"/>
      <c r="D156" s="72"/>
      <c r="E156" s="72"/>
      <c r="F156" s="72"/>
      <c r="G156" s="72"/>
      <c r="H156" s="97"/>
      <c r="I156" s="98"/>
      <c r="J156" s="73">
        <v>5</v>
      </c>
      <c r="K156" s="74"/>
      <c r="L156" s="74"/>
      <c r="M156" s="75">
        <f>ROUND(1*(502+267)*3.79/1000,3)</f>
        <v>2.915</v>
      </c>
      <c r="N156" s="76"/>
      <c r="O156" s="76"/>
      <c r="P156" s="76"/>
      <c r="Q156" s="101"/>
    </row>
    <row r="157" spans="1:17" ht="48.75" customHeight="1" x14ac:dyDescent="0.25">
      <c r="A157" s="93">
        <v>31</v>
      </c>
      <c r="B157" s="93" t="s">
        <v>112</v>
      </c>
      <c r="C157" s="94"/>
      <c r="D157" s="94"/>
      <c r="E157" s="94"/>
      <c r="F157" s="94"/>
      <c r="G157" s="94"/>
      <c r="H157" s="95" t="s">
        <v>113</v>
      </c>
      <c r="I157" s="96"/>
      <c r="J157" s="95" t="s">
        <v>114</v>
      </c>
      <c r="K157" s="99"/>
      <c r="L157" s="99"/>
      <c r="M157" s="99"/>
      <c r="N157" s="99"/>
      <c r="O157" s="99"/>
      <c r="P157" s="99"/>
      <c r="Q157" s="100">
        <f>ROUND(M158*J158,3)</f>
        <v>3.097</v>
      </c>
    </row>
    <row r="158" spans="1:17" ht="81" customHeight="1" x14ac:dyDescent="0.25">
      <c r="A158" s="71"/>
      <c r="B158" s="71" t="s">
        <v>115</v>
      </c>
      <c r="C158" s="72"/>
      <c r="D158" s="72"/>
      <c r="E158" s="72"/>
      <c r="F158" s="72"/>
      <c r="G158" s="72"/>
      <c r="H158" s="97"/>
      <c r="I158" s="98"/>
      <c r="J158" s="73">
        <v>0.16370000000000001</v>
      </c>
      <c r="K158" s="74"/>
      <c r="L158" s="74"/>
      <c r="M158" s="75">
        <f>ROUND(1*4991*2*0.5*3.79/1000,3)</f>
        <v>18.916</v>
      </c>
      <c r="N158" s="76"/>
      <c r="O158" s="76"/>
      <c r="P158" s="76"/>
      <c r="Q158" s="101"/>
    </row>
    <row r="159" spans="1:17" ht="44.25" customHeight="1" x14ac:dyDescent="0.25">
      <c r="A159" s="93">
        <v>32</v>
      </c>
      <c r="B159" s="93" t="s">
        <v>112</v>
      </c>
      <c r="C159" s="94"/>
      <c r="D159" s="94"/>
      <c r="E159" s="94"/>
      <c r="F159" s="94"/>
      <c r="G159" s="94"/>
      <c r="H159" s="95" t="s">
        <v>113</v>
      </c>
      <c r="I159" s="96"/>
      <c r="J159" s="95" t="s">
        <v>116</v>
      </c>
      <c r="K159" s="99"/>
      <c r="L159" s="99"/>
      <c r="M159" s="99"/>
      <c r="N159" s="99"/>
      <c r="O159" s="99"/>
      <c r="P159" s="99"/>
      <c r="Q159" s="100">
        <f>ROUND(M160*J160,3)</f>
        <v>1.05</v>
      </c>
    </row>
    <row r="160" spans="1:17" ht="82.5" customHeight="1" x14ac:dyDescent="0.25">
      <c r="A160" s="71"/>
      <c r="B160" s="71" t="s">
        <v>117</v>
      </c>
      <c r="C160" s="72"/>
      <c r="D160" s="72"/>
      <c r="E160" s="72"/>
      <c r="F160" s="72"/>
      <c r="G160" s="72"/>
      <c r="H160" s="97"/>
      <c r="I160" s="98"/>
      <c r="J160" s="73">
        <v>0.16370000000000001</v>
      </c>
      <c r="K160" s="74"/>
      <c r="L160" s="74"/>
      <c r="M160" s="75">
        <f>ROUND(1*1692*2*0.5*3.79/1000,3)</f>
        <v>6.4130000000000003</v>
      </c>
      <c r="N160" s="76"/>
      <c r="O160" s="76"/>
      <c r="P160" s="76"/>
      <c r="Q160" s="101"/>
    </row>
    <row r="161" spans="1:17" ht="57" customHeight="1" x14ac:dyDescent="0.25">
      <c r="A161" s="93">
        <v>33</v>
      </c>
      <c r="B161" s="93" t="s">
        <v>112</v>
      </c>
      <c r="C161" s="94"/>
      <c r="D161" s="94"/>
      <c r="E161" s="94"/>
      <c r="F161" s="94"/>
      <c r="G161" s="94"/>
      <c r="H161" s="95" t="s">
        <v>122</v>
      </c>
      <c r="I161" s="96"/>
      <c r="J161" s="95" t="s">
        <v>123</v>
      </c>
      <c r="K161" s="99"/>
      <c r="L161" s="99"/>
      <c r="M161" s="99"/>
      <c r="N161" s="99"/>
      <c r="O161" s="99"/>
      <c r="P161" s="99"/>
      <c r="Q161" s="100">
        <f>ROUND(M162*J162,3)</f>
        <v>36.872999999999998</v>
      </c>
    </row>
    <row r="162" spans="1:17" ht="100.5" customHeight="1" x14ac:dyDescent="0.25">
      <c r="A162" s="71"/>
      <c r="B162" s="71" t="s">
        <v>121</v>
      </c>
      <c r="C162" s="72"/>
      <c r="D162" s="72"/>
      <c r="E162" s="72"/>
      <c r="F162" s="72"/>
      <c r="G162" s="72"/>
      <c r="H162" s="97"/>
      <c r="I162" s="98"/>
      <c r="J162" s="73">
        <v>1</v>
      </c>
      <c r="K162" s="74"/>
      <c r="L162" s="74"/>
      <c r="M162" s="75">
        <f>ROUND(1*(24*146*3.79/1000+6.174+41.641+1.651+67.76+17.748+36*146*3.79/1000+10*502*3.79/1000+9.458)*0.1875,3)</f>
        <v>36.872999999999998</v>
      </c>
      <c r="N162" s="76"/>
      <c r="O162" s="76"/>
      <c r="P162" s="76"/>
      <c r="Q162" s="101"/>
    </row>
    <row r="163" spans="1:17" s="7" customFormat="1" ht="19.350000000000001" customHeight="1" x14ac:dyDescent="0.25">
      <c r="A163" s="118" t="s">
        <v>130</v>
      </c>
      <c r="B163" s="119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19"/>
      <c r="P163" s="120"/>
      <c r="Q163" s="6">
        <f>SUM(Q139:Q162)</f>
        <v>115.93699999999998</v>
      </c>
    </row>
    <row r="164" spans="1:17" s="5" customFormat="1" ht="21.75" customHeight="1" x14ac:dyDescent="0.25">
      <c r="A164" s="87" t="s">
        <v>131</v>
      </c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9"/>
    </row>
    <row r="165" spans="1:17" ht="48.75" customHeight="1" x14ac:dyDescent="0.25">
      <c r="A165" s="93">
        <v>34</v>
      </c>
      <c r="B165" s="93" t="s">
        <v>124</v>
      </c>
      <c r="C165" s="94"/>
      <c r="D165" s="94"/>
      <c r="E165" s="94"/>
      <c r="F165" s="94"/>
      <c r="G165" s="94"/>
      <c r="H165" s="95" t="s">
        <v>209</v>
      </c>
      <c r="I165" s="96"/>
      <c r="J165" s="95" t="s">
        <v>207</v>
      </c>
      <c r="K165" s="99"/>
      <c r="L165" s="99"/>
      <c r="M165" s="99"/>
      <c r="N165" s="99"/>
      <c r="O165" s="99"/>
      <c r="P165" s="99"/>
      <c r="Q165" s="100">
        <f>ROUND(M166*J166,3)</f>
        <v>520.56399999999996</v>
      </c>
    </row>
    <row r="166" spans="1:17" ht="72" customHeight="1" x14ac:dyDescent="0.25">
      <c r="A166" s="71"/>
      <c r="B166" s="71" t="s">
        <v>208</v>
      </c>
      <c r="C166" s="72"/>
      <c r="D166" s="72"/>
      <c r="E166" s="72"/>
      <c r="F166" s="72"/>
      <c r="G166" s="72"/>
      <c r="H166" s="97"/>
      <c r="I166" s="98"/>
      <c r="J166" s="73">
        <v>1</v>
      </c>
      <c r="K166" s="74"/>
      <c r="L166" s="74"/>
      <c r="M166" s="75">
        <f>ROUND(1*(273.44+0.017*2954)*0.98*0.4*1.1*3.73,3)</f>
        <v>520.56399999999996</v>
      </c>
      <c r="N166" s="76"/>
      <c r="O166" s="76"/>
      <c r="P166" s="76"/>
      <c r="Q166" s="101"/>
    </row>
    <row r="167" spans="1:17" ht="48.75" customHeight="1" x14ac:dyDescent="0.25">
      <c r="A167" s="93">
        <v>35</v>
      </c>
      <c r="B167" s="93" t="s">
        <v>124</v>
      </c>
      <c r="C167" s="94"/>
      <c r="D167" s="94"/>
      <c r="E167" s="94"/>
      <c r="F167" s="94"/>
      <c r="G167" s="94"/>
      <c r="H167" s="95" t="s">
        <v>215</v>
      </c>
      <c r="I167" s="96"/>
      <c r="J167" s="95" t="s">
        <v>211</v>
      </c>
      <c r="K167" s="99"/>
      <c r="L167" s="99"/>
      <c r="M167" s="99"/>
      <c r="N167" s="99"/>
      <c r="O167" s="99"/>
      <c r="P167" s="99"/>
      <c r="Q167" s="100">
        <f>ROUND(M168*J168,3)</f>
        <v>780.846</v>
      </c>
    </row>
    <row r="168" spans="1:17" ht="82.5" customHeight="1" x14ac:dyDescent="0.25">
      <c r="A168" s="71"/>
      <c r="B168" s="71" t="s">
        <v>210</v>
      </c>
      <c r="C168" s="72"/>
      <c r="D168" s="72"/>
      <c r="E168" s="72"/>
      <c r="F168" s="72"/>
      <c r="G168" s="72"/>
      <c r="H168" s="97"/>
      <c r="I168" s="98"/>
      <c r="J168" s="73">
        <v>1</v>
      </c>
      <c r="K168" s="74"/>
      <c r="L168" s="74"/>
      <c r="M168" s="75">
        <f>ROUND(1*(273.44+0.017*2954)*0.98*0.6*1.1*3.73,3)</f>
        <v>780.846</v>
      </c>
      <c r="N168" s="76"/>
      <c r="O168" s="76"/>
      <c r="P168" s="76"/>
      <c r="Q168" s="101"/>
    </row>
    <row r="169" spans="1:17" ht="44.25" customHeight="1" x14ac:dyDescent="0.25">
      <c r="A169" s="30">
        <v>36</v>
      </c>
      <c r="B169" s="136" t="s">
        <v>125</v>
      </c>
      <c r="C169" s="137"/>
      <c r="D169" s="137"/>
      <c r="E169" s="137"/>
      <c r="F169" s="137"/>
      <c r="G169" s="137"/>
      <c r="H169" s="138" t="s">
        <v>203</v>
      </c>
      <c r="I169" s="139"/>
      <c r="J169" s="138" t="s">
        <v>205</v>
      </c>
      <c r="K169" s="142"/>
      <c r="L169" s="142"/>
      <c r="M169" s="142"/>
      <c r="N169" s="142"/>
      <c r="O169" s="142"/>
      <c r="P169" s="142"/>
      <c r="Q169" s="143">
        <f>ROUND(M170*J170,3)</f>
        <v>66.680999999999997</v>
      </c>
    </row>
    <row r="170" spans="1:17" ht="92.25" customHeight="1" x14ac:dyDescent="0.25">
      <c r="A170" s="29"/>
      <c r="B170" s="145" t="s">
        <v>204</v>
      </c>
      <c r="C170" s="146"/>
      <c r="D170" s="146"/>
      <c r="E170" s="146"/>
      <c r="F170" s="146"/>
      <c r="G170" s="146"/>
      <c r="H170" s="140"/>
      <c r="I170" s="141"/>
      <c r="J170" s="147">
        <v>1</v>
      </c>
      <c r="K170" s="148"/>
      <c r="L170" s="148"/>
      <c r="M170" s="149">
        <f>ROUND(1*972*28.73*1.15*1.2*1.3*1.1*1.21/1000,3)</f>
        <v>66.680999999999997</v>
      </c>
      <c r="N170" s="150"/>
      <c r="O170" s="150"/>
      <c r="P170" s="150"/>
      <c r="Q170" s="144"/>
    </row>
    <row r="171" spans="1:17" ht="25.5" customHeight="1" x14ac:dyDescent="0.25">
      <c r="A171" s="93">
        <v>37</v>
      </c>
      <c r="B171" s="93" t="s">
        <v>15</v>
      </c>
      <c r="C171" s="94"/>
      <c r="D171" s="94"/>
      <c r="E171" s="94"/>
      <c r="F171" s="94"/>
      <c r="G171" s="94"/>
      <c r="H171" s="95" t="s">
        <v>157</v>
      </c>
      <c r="I171" s="96"/>
      <c r="J171" s="95" t="s">
        <v>158</v>
      </c>
      <c r="K171" s="99"/>
      <c r="L171" s="99"/>
      <c r="M171" s="99"/>
      <c r="N171" s="99"/>
      <c r="O171" s="99"/>
      <c r="P171" s="99"/>
      <c r="Q171" s="100">
        <f>ROUND(M172*J172,3)</f>
        <v>44.064</v>
      </c>
    </row>
    <row r="172" spans="1:17" ht="83.25" customHeight="1" x14ac:dyDescent="0.25">
      <c r="A172" s="71"/>
      <c r="B172" s="71" t="s">
        <v>165</v>
      </c>
      <c r="C172" s="72"/>
      <c r="D172" s="72"/>
      <c r="E172" s="72"/>
      <c r="F172" s="72"/>
      <c r="G172" s="72"/>
      <c r="H172" s="97"/>
      <c r="I172" s="98"/>
      <c r="J172" s="73">
        <v>1</v>
      </c>
      <c r="K172" s="74"/>
      <c r="L172" s="74"/>
      <c r="M172" s="75">
        <f>ROUND(1*13.6*1.25*2592/1000,3)</f>
        <v>44.064</v>
      </c>
      <c r="N172" s="76"/>
      <c r="O172" s="76"/>
      <c r="P172" s="76"/>
      <c r="Q172" s="101"/>
    </row>
    <row r="173" spans="1:17" ht="25.5" customHeight="1" x14ac:dyDescent="0.25">
      <c r="A173" s="93">
        <v>38</v>
      </c>
      <c r="B173" s="93" t="s">
        <v>15</v>
      </c>
      <c r="C173" s="94"/>
      <c r="D173" s="94"/>
      <c r="E173" s="94"/>
      <c r="F173" s="94"/>
      <c r="G173" s="94"/>
      <c r="H173" s="95" t="s">
        <v>159</v>
      </c>
      <c r="I173" s="96"/>
      <c r="J173" s="95" t="s">
        <v>160</v>
      </c>
      <c r="K173" s="99"/>
      <c r="L173" s="99"/>
      <c r="M173" s="99"/>
      <c r="N173" s="99"/>
      <c r="O173" s="99"/>
      <c r="P173" s="99"/>
      <c r="Q173" s="100">
        <f>ROUND(M174*J174,3)</f>
        <v>46.5</v>
      </c>
    </row>
    <row r="174" spans="1:17" ht="81" customHeight="1" x14ac:dyDescent="0.25">
      <c r="A174" s="71"/>
      <c r="B174" s="71" t="s">
        <v>164</v>
      </c>
      <c r="C174" s="72"/>
      <c r="D174" s="72"/>
      <c r="E174" s="72"/>
      <c r="F174" s="72"/>
      <c r="G174" s="72"/>
      <c r="H174" s="97"/>
      <c r="I174" s="98"/>
      <c r="J174" s="73">
        <v>1</v>
      </c>
      <c r="K174" s="74"/>
      <c r="L174" s="74"/>
      <c r="M174" s="75">
        <f>ROUND(1*11.96*1.5*2592/1000,3)</f>
        <v>46.5</v>
      </c>
      <c r="N174" s="76"/>
      <c r="O174" s="76"/>
      <c r="P174" s="76"/>
      <c r="Q174" s="101"/>
    </row>
    <row r="175" spans="1:17" ht="27.75" customHeight="1" x14ac:dyDescent="0.25">
      <c r="A175" s="93">
        <v>39</v>
      </c>
      <c r="B175" s="93" t="s">
        <v>15</v>
      </c>
      <c r="C175" s="94"/>
      <c r="D175" s="94"/>
      <c r="E175" s="94"/>
      <c r="F175" s="94"/>
      <c r="G175" s="94"/>
      <c r="H175" s="95" t="s">
        <v>161</v>
      </c>
      <c r="I175" s="96"/>
      <c r="J175" s="95" t="s">
        <v>162</v>
      </c>
      <c r="K175" s="99"/>
      <c r="L175" s="99"/>
      <c r="M175" s="99"/>
      <c r="N175" s="99"/>
      <c r="O175" s="99"/>
      <c r="P175" s="99"/>
      <c r="Q175" s="100">
        <f>ROUND(M176*J176,3)</f>
        <v>20.038</v>
      </c>
    </row>
    <row r="176" spans="1:17" ht="80.25" customHeight="1" x14ac:dyDescent="0.25">
      <c r="A176" s="71"/>
      <c r="B176" s="71" t="s">
        <v>163</v>
      </c>
      <c r="C176" s="72"/>
      <c r="D176" s="72"/>
      <c r="E176" s="72"/>
      <c r="F176" s="72"/>
      <c r="G176" s="72"/>
      <c r="H176" s="97"/>
      <c r="I176" s="98"/>
      <c r="J176" s="73">
        <v>1</v>
      </c>
      <c r="K176" s="74"/>
      <c r="L176" s="74"/>
      <c r="M176" s="75">
        <f>ROUND(1*5.02*1.4*1.1*2592/1000,3)</f>
        <v>20.038</v>
      </c>
      <c r="N176" s="76"/>
      <c r="O176" s="76"/>
      <c r="P176" s="76"/>
      <c r="Q176" s="101"/>
    </row>
    <row r="177" spans="1:17" ht="29.25" customHeight="1" x14ac:dyDescent="0.25">
      <c r="A177" s="93">
        <v>40</v>
      </c>
      <c r="B177" s="93" t="s">
        <v>15</v>
      </c>
      <c r="C177" s="94"/>
      <c r="D177" s="94"/>
      <c r="E177" s="94"/>
      <c r="F177" s="94"/>
      <c r="G177" s="94"/>
      <c r="H177" s="95" t="s">
        <v>166</v>
      </c>
      <c r="I177" s="96"/>
      <c r="J177" s="95" t="s">
        <v>168</v>
      </c>
      <c r="K177" s="99"/>
      <c r="L177" s="99"/>
      <c r="M177" s="99"/>
      <c r="N177" s="99"/>
      <c r="O177" s="99"/>
      <c r="P177" s="99"/>
      <c r="Q177" s="100">
        <f>ROUND(M178*J178,3)</f>
        <v>95.611999999999995</v>
      </c>
    </row>
    <row r="178" spans="1:17" ht="83.25" customHeight="1" x14ac:dyDescent="0.25">
      <c r="A178" s="71"/>
      <c r="B178" s="71" t="s">
        <v>167</v>
      </c>
      <c r="C178" s="72"/>
      <c r="D178" s="72"/>
      <c r="E178" s="72"/>
      <c r="F178" s="72"/>
      <c r="G178" s="72"/>
      <c r="H178" s="97"/>
      <c r="I178" s="98"/>
      <c r="J178" s="73">
        <v>1</v>
      </c>
      <c r="K178" s="74"/>
      <c r="L178" s="74"/>
      <c r="M178" s="75">
        <f>ROUND(1*14.85*1.38*1.8*2592/1000,3)</f>
        <v>95.611999999999995</v>
      </c>
      <c r="N178" s="76"/>
      <c r="O178" s="76"/>
      <c r="P178" s="76"/>
      <c r="Q178" s="101"/>
    </row>
    <row r="179" spans="1:17" ht="29.25" customHeight="1" x14ac:dyDescent="0.25">
      <c r="A179" s="93">
        <v>41</v>
      </c>
      <c r="B179" s="93" t="s">
        <v>15</v>
      </c>
      <c r="C179" s="94"/>
      <c r="D179" s="94"/>
      <c r="E179" s="94"/>
      <c r="F179" s="94"/>
      <c r="G179" s="94"/>
      <c r="H179" s="95" t="s">
        <v>169</v>
      </c>
      <c r="I179" s="96"/>
      <c r="J179" s="95" t="s">
        <v>171</v>
      </c>
      <c r="K179" s="99"/>
      <c r="L179" s="99"/>
      <c r="M179" s="99"/>
      <c r="N179" s="99"/>
      <c r="O179" s="99"/>
      <c r="P179" s="99"/>
      <c r="Q179" s="100">
        <f>ROUND(M180*J180,3)</f>
        <v>24.728000000000002</v>
      </c>
    </row>
    <row r="180" spans="1:17" ht="81.75" customHeight="1" x14ac:dyDescent="0.25">
      <c r="A180" s="71"/>
      <c r="B180" s="71" t="s">
        <v>170</v>
      </c>
      <c r="C180" s="72"/>
      <c r="D180" s="72"/>
      <c r="E180" s="72"/>
      <c r="F180" s="72"/>
      <c r="G180" s="72"/>
      <c r="H180" s="97"/>
      <c r="I180" s="98"/>
      <c r="J180" s="73">
        <v>1</v>
      </c>
      <c r="K180" s="74"/>
      <c r="L180" s="74"/>
      <c r="M180" s="75">
        <f>ROUND(1*7.95*1.2*2592/1000,3)</f>
        <v>24.728000000000002</v>
      </c>
      <c r="N180" s="76"/>
      <c r="O180" s="76"/>
      <c r="P180" s="76"/>
      <c r="Q180" s="101"/>
    </row>
    <row r="181" spans="1:17" ht="25.5" customHeight="1" x14ac:dyDescent="0.25">
      <c r="A181" s="93">
        <v>42</v>
      </c>
      <c r="B181" s="93" t="s">
        <v>15</v>
      </c>
      <c r="C181" s="94"/>
      <c r="D181" s="94"/>
      <c r="E181" s="94"/>
      <c r="F181" s="94"/>
      <c r="G181" s="94"/>
      <c r="H181" s="95" t="s">
        <v>151</v>
      </c>
      <c r="I181" s="96"/>
      <c r="J181" s="95" t="s">
        <v>127</v>
      </c>
      <c r="K181" s="99"/>
      <c r="L181" s="99"/>
      <c r="M181" s="99"/>
      <c r="N181" s="99"/>
      <c r="O181" s="99"/>
      <c r="P181" s="99"/>
      <c r="Q181" s="100">
        <f>ROUND(M182*J182,3)</f>
        <v>53.246000000000002</v>
      </c>
    </row>
    <row r="182" spans="1:17" ht="111" customHeight="1" x14ac:dyDescent="0.25">
      <c r="A182" s="71"/>
      <c r="B182" s="71" t="s">
        <v>128</v>
      </c>
      <c r="C182" s="72"/>
      <c r="D182" s="72"/>
      <c r="E182" s="72"/>
      <c r="F182" s="72"/>
      <c r="G182" s="72"/>
      <c r="H182" s="97"/>
      <c r="I182" s="98"/>
      <c r="J182" s="73">
        <v>0.5</v>
      </c>
      <c r="K182" s="74"/>
      <c r="L182" s="74"/>
      <c r="M182" s="75">
        <f>ROUND(1*37.35*1.1*540*1.2*4/1000,3)</f>
        <v>106.492</v>
      </c>
      <c r="N182" s="76"/>
      <c r="O182" s="76"/>
      <c r="P182" s="76"/>
      <c r="Q182" s="101"/>
    </row>
    <row r="183" spans="1:17" ht="22.5" customHeight="1" x14ac:dyDescent="0.25">
      <c r="A183" s="93">
        <v>43</v>
      </c>
      <c r="B183" s="93" t="s">
        <v>15</v>
      </c>
      <c r="C183" s="94"/>
      <c r="D183" s="94"/>
      <c r="E183" s="94"/>
      <c r="F183" s="94"/>
      <c r="G183" s="94"/>
      <c r="H183" s="95" t="s">
        <v>172</v>
      </c>
      <c r="I183" s="96"/>
      <c r="J183" s="95" t="s">
        <v>174</v>
      </c>
      <c r="K183" s="99"/>
      <c r="L183" s="99"/>
      <c r="M183" s="99"/>
      <c r="N183" s="99"/>
      <c r="O183" s="99"/>
      <c r="P183" s="99"/>
      <c r="Q183" s="100">
        <f>ROUND(M184*J184,3)</f>
        <v>14.8</v>
      </c>
    </row>
    <row r="184" spans="1:17" ht="80.25" customHeight="1" x14ac:dyDescent="0.25">
      <c r="A184" s="71"/>
      <c r="B184" s="71" t="s">
        <v>173</v>
      </c>
      <c r="C184" s="72"/>
      <c r="D184" s="72"/>
      <c r="E184" s="72"/>
      <c r="F184" s="72"/>
      <c r="G184" s="72"/>
      <c r="H184" s="97"/>
      <c r="I184" s="98"/>
      <c r="J184" s="73">
        <v>1</v>
      </c>
      <c r="K184" s="74"/>
      <c r="L184" s="74"/>
      <c r="M184" s="75">
        <f>ROUND(1*5.71*2592/1000,3)</f>
        <v>14.8</v>
      </c>
      <c r="N184" s="76"/>
      <c r="O184" s="76"/>
      <c r="P184" s="76"/>
      <c r="Q184" s="101"/>
    </row>
    <row r="185" spans="1:17" ht="29.25" customHeight="1" x14ac:dyDescent="0.25">
      <c r="A185" s="93">
        <v>44</v>
      </c>
      <c r="B185" s="93" t="s">
        <v>15</v>
      </c>
      <c r="C185" s="94"/>
      <c r="D185" s="94"/>
      <c r="E185" s="94"/>
      <c r="F185" s="94"/>
      <c r="G185" s="94"/>
      <c r="H185" s="95" t="s">
        <v>175</v>
      </c>
      <c r="I185" s="96"/>
      <c r="J185" s="95" t="s">
        <v>177</v>
      </c>
      <c r="K185" s="99"/>
      <c r="L185" s="99"/>
      <c r="M185" s="99"/>
      <c r="N185" s="99"/>
      <c r="O185" s="99"/>
      <c r="P185" s="99"/>
      <c r="Q185" s="100">
        <f>ROUND(M186*J186,3)</f>
        <v>13.012</v>
      </c>
    </row>
    <row r="186" spans="1:17" ht="87" customHeight="1" x14ac:dyDescent="0.25">
      <c r="A186" s="71"/>
      <c r="B186" s="71" t="s">
        <v>176</v>
      </c>
      <c r="C186" s="72"/>
      <c r="D186" s="72"/>
      <c r="E186" s="72"/>
      <c r="F186" s="72"/>
      <c r="G186" s="72"/>
      <c r="H186" s="97"/>
      <c r="I186" s="98"/>
      <c r="J186" s="73">
        <v>1</v>
      </c>
      <c r="K186" s="74"/>
      <c r="L186" s="74"/>
      <c r="M186" s="75">
        <f>ROUND(1*5.02*2592/1000,3)</f>
        <v>13.012</v>
      </c>
      <c r="N186" s="76"/>
      <c r="O186" s="76"/>
      <c r="P186" s="76"/>
      <c r="Q186" s="101"/>
    </row>
    <row r="187" spans="1:17" ht="29.25" customHeight="1" x14ac:dyDescent="0.25">
      <c r="A187" s="93">
        <v>45</v>
      </c>
      <c r="B187" s="93" t="s">
        <v>15</v>
      </c>
      <c r="C187" s="94"/>
      <c r="D187" s="94"/>
      <c r="E187" s="94"/>
      <c r="F187" s="94"/>
      <c r="G187" s="94"/>
      <c r="H187" s="95" t="s">
        <v>178</v>
      </c>
      <c r="I187" s="96"/>
      <c r="J187" s="95" t="s">
        <v>180</v>
      </c>
      <c r="K187" s="99"/>
      <c r="L187" s="99"/>
      <c r="M187" s="99"/>
      <c r="N187" s="99"/>
      <c r="O187" s="99"/>
      <c r="P187" s="99"/>
      <c r="Q187" s="100">
        <f>ROUND(M188*J188,3)</f>
        <v>5.4690000000000003</v>
      </c>
    </row>
    <row r="188" spans="1:17" ht="84.75" customHeight="1" x14ac:dyDescent="0.25">
      <c r="A188" s="71"/>
      <c r="B188" s="71" t="s">
        <v>179</v>
      </c>
      <c r="C188" s="72"/>
      <c r="D188" s="72"/>
      <c r="E188" s="72"/>
      <c r="F188" s="72"/>
      <c r="G188" s="72"/>
      <c r="H188" s="97"/>
      <c r="I188" s="98"/>
      <c r="J188" s="73">
        <v>1</v>
      </c>
      <c r="K188" s="74"/>
      <c r="L188" s="74"/>
      <c r="M188" s="75">
        <f>ROUND(1*2.11*2592/1000,3)</f>
        <v>5.4690000000000003</v>
      </c>
      <c r="N188" s="76"/>
      <c r="O188" s="76"/>
      <c r="P188" s="76"/>
      <c r="Q188" s="101"/>
    </row>
    <row r="189" spans="1:17" ht="29.25" customHeight="1" x14ac:dyDescent="0.25">
      <c r="A189" s="93">
        <v>46</v>
      </c>
      <c r="B189" s="93" t="s">
        <v>15</v>
      </c>
      <c r="C189" s="94"/>
      <c r="D189" s="94"/>
      <c r="E189" s="94"/>
      <c r="F189" s="94"/>
      <c r="G189" s="94"/>
      <c r="H189" s="95" t="s">
        <v>181</v>
      </c>
      <c r="I189" s="96"/>
      <c r="J189" s="95" t="s">
        <v>183</v>
      </c>
      <c r="K189" s="99"/>
      <c r="L189" s="99"/>
      <c r="M189" s="99"/>
      <c r="N189" s="99"/>
      <c r="O189" s="99"/>
      <c r="P189" s="99"/>
      <c r="Q189" s="100">
        <f>ROUND(M190*J190,3)</f>
        <v>29.94</v>
      </c>
    </row>
    <row r="190" spans="1:17" ht="123" customHeight="1" x14ac:dyDescent="0.25">
      <c r="A190" s="71"/>
      <c r="B190" s="71" t="s">
        <v>182</v>
      </c>
      <c r="C190" s="72"/>
      <c r="D190" s="72"/>
      <c r="E190" s="72"/>
      <c r="F190" s="72"/>
      <c r="G190" s="72"/>
      <c r="H190" s="97"/>
      <c r="I190" s="98"/>
      <c r="J190" s="73">
        <v>12</v>
      </c>
      <c r="K190" s="74"/>
      <c r="L190" s="74"/>
      <c r="M190" s="75">
        <f>ROUND(1*0.77*1.25*2592/1000,3)</f>
        <v>2.4950000000000001</v>
      </c>
      <c r="N190" s="76"/>
      <c r="O190" s="76"/>
      <c r="P190" s="76"/>
      <c r="Q190" s="101"/>
    </row>
    <row r="191" spans="1:17" ht="29.25" customHeight="1" x14ac:dyDescent="0.25">
      <c r="A191" s="93">
        <v>47</v>
      </c>
      <c r="B191" s="93" t="s">
        <v>15</v>
      </c>
      <c r="C191" s="94"/>
      <c r="D191" s="94"/>
      <c r="E191" s="94"/>
      <c r="F191" s="94"/>
      <c r="G191" s="94"/>
      <c r="H191" s="95" t="s">
        <v>184</v>
      </c>
      <c r="I191" s="96"/>
      <c r="J191" s="95" t="s">
        <v>186</v>
      </c>
      <c r="K191" s="99"/>
      <c r="L191" s="99"/>
      <c r="M191" s="99"/>
      <c r="N191" s="99"/>
      <c r="O191" s="99"/>
      <c r="P191" s="99"/>
      <c r="Q191" s="100">
        <f>ROUND(M192*J192,3)</f>
        <v>7.45</v>
      </c>
    </row>
    <row r="192" spans="1:17" ht="105.75" customHeight="1" x14ac:dyDescent="0.25">
      <c r="A192" s="71"/>
      <c r="B192" s="71" t="s">
        <v>185</v>
      </c>
      <c r="C192" s="72"/>
      <c r="D192" s="72"/>
      <c r="E192" s="72"/>
      <c r="F192" s="72"/>
      <c r="G192" s="72"/>
      <c r="H192" s="97"/>
      <c r="I192" s="98"/>
      <c r="J192" s="73">
        <v>5</v>
      </c>
      <c r="K192" s="74"/>
      <c r="L192" s="74"/>
      <c r="M192" s="75">
        <f>ROUND(1*0.46*1.25*2592/1000,3)</f>
        <v>1.49</v>
      </c>
      <c r="N192" s="76"/>
      <c r="O192" s="76"/>
      <c r="P192" s="76"/>
      <c r="Q192" s="101"/>
    </row>
    <row r="193" spans="1:17" ht="29.25" customHeight="1" x14ac:dyDescent="0.25">
      <c r="A193" s="93">
        <v>48</v>
      </c>
      <c r="B193" s="93" t="s">
        <v>15</v>
      </c>
      <c r="C193" s="94"/>
      <c r="D193" s="94"/>
      <c r="E193" s="94"/>
      <c r="F193" s="94"/>
      <c r="G193" s="94"/>
      <c r="H193" s="95" t="s">
        <v>191</v>
      </c>
      <c r="I193" s="96"/>
      <c r="J193" s="95" t="s">
        <v>186</v>
      </c>
      <c r="K193" s="99"/>
      <c r="L193" s="99"/>
      <c r="M193" s="99"/>
      <c r="N193" s="99"/>
      <c r="O193" s="99"/>
      <c r="P193" s="99"/>
      <c r="Q193" s="100">
        <f>ROUND(M194*J194,3)</f>
        <v>7.45</v>
      </c>
    </row>
    <row r="194" spans="1:17" ht="90" customHeight="1" x14ac:dyDescent="0.25">
      <c r="A194" s="71"/>
      <c r="B194" s="71" t="s">
        <v>187</v>
      </c>
      <c r="C194" s="72"/>
      <c r="D194" s="72"/>
      <c r="E194" s="72"/>
      <c r="F194" s="72"/>
      <c r="G194" s="72"/>
      <c r="H194" s="97"/>
      <c r="I194" s="98"/>
      <c r="J194" s="73">
        <v>5</v>
      </c>
      <c r="K194" s="74"/>
      <c r="L194" s="74"/>
      <c r="M194" s="75">
        <f>ROUND(1*0.46*1.25*2592/1000,3)</f>
        <v>1.49</v>
      </c>
      <c r="N194" s="76"/>
      <c r="O194" s="76"/>
      <c r="P194" s="76"/>
      <c r="Q194" s="101"/>
    </row>
    <row r="195" spans="1:17" ht="18.75" customHeight="1" x14ac:dyDescent="0.25">
      <c r="A195" s="93">
        <v>49</v>
      </c>
      <c r="B195" s="93" t="s">
        <v>15</v>
      </c>
      <c r="C195" s="94"/>
      <c r="D195" s="94"/>
      <c r="E195" s="94"/>
      <c r="F195" s="94"/>
      <c r="G195" s="94"/>
      <c r="H195" s="95" t="s">
        <v>190</v>
      </c>
      <c r="I195" s="96"/>
      <c r="J195" s="95" t="s">
        <v>189</v>
      </c>
      <c r="K195" s="99"/>
      <c r="L195" s="99"/>
      <c r="M195" s="99"/>
      <c r="N195" s="99"/>
      <c r="O195" s="99"/>
      <c r="P195" s="99"/>
      <c r="Q195" s="100">
        <f>ROUND(M196*J196,3)</f>
        <v>5.6</v>
      </c>
    </row>
    <row r="196" spans="1:17" ht="94.5" customHeight="1" x14ac:dyDescent="0.25">
      <c r="A196" s="71"/>
      <c r="B196" s="71" t="s">
        <v>188</v>
      </c>
      <c r="C196" s="72"/>
      <c r="D196" s="72"/>
      <c r="E196" s="72"/>
      <c r="F196" s="72"/>
      <c r="G196" s="72"/>
      <c r="H196" s="97"/>
      <c r="I196" s="98"/>
      <c r="J196" s="73">
        <v>8</v>
      </c>
      <c r="K196" s="74"/>
      <c r="L196" s="74"/>
      <c r="M196" s="75">
        <f>ROUND(1*0.18*1.5*2592/1000,3)</f>
        <v>0.7</v>
      </c>
      <c r="N196" s="76"/>
      <c r="O196" s="76"/>
      <c r="P196" s="76"/>
      <c r="Q196" s="101"/>
    </row>
    <row r="197" spans="1:17" ht="25.5" customHeight="1" x14ac:dyDescent="0.25">
      <c r="A197" s="93">
        <v>50</v>
      </c>
      <c r="B197" s="93" t="s">
        <v>15</v>
      </c>
      <c r="C197" s="94"/>
      <c r="D197" s="94"/>
      <c r="E197" s="94"/>
      <c r="F197" s="94"/>
      <c r="G197" s="94"/>
      <c r="H197" s="95" t="s">
        <v>151</v>
      </c>
      <c r="I197" s="96"/>
      <c r="J197" s="95" t="s">
        <v>194</v>
      </c>
      <c r="K197" s="99"/>
      <c r="L197" s="99"/>
      <c r="M197" s="99"/>
      <c r="N197" s="99"/>
      <c r="O197" s="99"/>
      <c r="P197" s="99"/>
      <c r="Q197" s="100">
        <f>ROUND(M198*J198,3)</f>
        <v>21.297999999999998</v>
      </c>
    </row>
    <row r="198" spans="1:17" ht="109.5" customHeight="1" x14ac:dyDescent="0.25">
      <c r="A198" s="71"/>
      <c r="B198" s="71" t="s">
        <v>193</v>
      </c>
      <c r="C198" s="72"/>
      <c r="D198" s="72"/>
      <c r="E198" s="72"/>
      <c r="F198" s="72"/>
      <c r="G198" s="72"/>
      <c r="H198" s="97"/>
      <c r="I198" s="98"/>
      <c r="J198" s="73">
        <v>0.2</v>
      </c>
      <c r="K198" s="74"/>
      <c r="L198" s="74"/>
      <c r="M198" s="75">
        <f>ROUND(1*37.35*1.1*2592/1000,3)</f>
        <v>106.492</v>
      </c>
      <c r="N198" s="76"/>
      <c r="O198" s="76"/>
      <c r="P198" s="76"/>
      <c r="Q198" s="101"/>
    </row>
    <row r="199" spans="1:17" s="7" customFormat="1" ht="19.350000000000001" customHeight="1" x14ac:dyDescent="0.25">
      <c r="A199" s="118" t="s">
        <v>192</v>
      </c>
      <c r="B199" s="119"/>
      <c r="C199" s="119"/>
      <c r="D199" s="119"/>
      <c r="E199" s="119"/>
      <c r="F199" s="119"/>
      <c r="G199" s="119"/>
      <c r="H199" s="119"/>
      <c r="I199" s="119"/>
      <c r="J199" s="119"/>
      <c r="K199" s="119"/>
      <c r="L199" s="119"/>
      <c r="M199" s="119"/>
      <c r="N199" s="119"/>
      <c r="O199" s="119"/>
      <c r="P199" s="120"/>
      <c r="Q199" s="6">
        <f>SUM(Q165:Q198)</f>
        <v>1757.2980000000002</v>
      </c>
    </row>
    <row r="200" spans="1:17" s="5" customFormat="1" ht="21.75" customHeight="1" x14ac:dyDescent="0.25">
      <c r="A200" s="87" t="s">
        <v>212</v>
      </c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9"/>
    </row>
    <row r="201" spans="1:17" ht="25.5" customHeight="1" x14ac:dyDescent="0.25">
      <c r="A201" s="93">
        <v>51</v>
      </c>
      <c r="B201" s="93" t="s">
        <v>15</v>
      </c>
      <c r="C201" s="94"/>
      <c r="D201" s="94"/>
      <c r="E201" s="94"/>
      <c r="F201" s="94"/>
      <c r="G201" s="94"/>
      <c r="H201" s="95" t="s">
        <v>197</v>
      </c>
      <c r="I201" s="96"/>
      <c r="J201" s="95" t="s">
        <v>198</v>
      </c>
      <c r="K201" s="99"/>
      <c r="L201" s="99"/>
      <c r="M201" s="99"/>
      <c r="N201" s="99"/>
      <c r="O201" s="99"/>
      <c r="P201" s="99"/>
      <c r="Q201" s="100">
        <f>ROUND(M202*J202,3)</f>
        <v>42.72</v>
      </c>
    </row>
    <row r="202" spans="1:17" ht="122.25" customHeight="1" x14ac:dyDescent="0.25">
      <c r="A202" s="71"/>
      <c r="B202" s="71" t="s">
        <v>199</v>
      </c>
      <c r="C202" s="72"/>
      <c r="D202" s="72"/>
      <c r="E202" s="72"/>
      <c r="F202" s="72"/>
      <c r="G202" s="72"/>
      <c r="H202" s="97"/>
      <c r="I202" s="98"/>
      <c r="J202" s="73">
        <v>20</v>
      </c>
      <c r="K202" s="74"/>
      <c r="L202" s="74"/>
      <c r="M202" s="75">
        <f>ROUND(1*1.03*0.8*2592/1000,3)</f>
        <v>2.1360000000000001</v>
      </c>
      <c r="N202" s="76"/>
      <c r="O202" s="76"/>
      <c r="P202" s="76"/>
      <c r="Q202" s="101"/>
    </row>
    <row r="203" spans="1:17" ht="25.5" customHeight="1" x14ac:dyDescent="0.25">
      <c r="A203" s="93">
        <v>52</v>
      </c>
      <c r="B203" s="93" t="s">
        <v>15</v>
      </c>
      <c r="C203" s="94"/>
      <c r="D203" s="94"/>
      <c r="E203" s="94"/>
      <c r="F203" s="94"/>
      <c r="G203" s="94"/>
      <c r="H203" s="95" t="s">
        <v>200</v>
      </c>
      <c r="I203" s="96"/>
      <c r="J203" s="95" t="s">
        <v>202</v>
      </c>
      <c r="K203" s="99"/>
      <c r="L203" s="99"/>
      <c r="M203" s="99"/>
      <c r="N203" s="99"/>
      <c r="O203" s="99"/>
      <c r="P203" s="99"/>
      <c r="Q203" s="100">
        <f>ROUND(M204*J204,3)</f>
        <v>34</v>
      </c>
    </row>
    <row r="204" spans="1:17" ht="122.25" customHeight="1" x14ac:dyDescent="0.25">
      <c r="A204" s="71"/>
      <c r="B204" s="71" t="s">
        <v>201</v>
      </c>
      <c r="C204" s="72"/>
      <c r="D204" s="72"/>
      <c r="E204" s="72"/>
      <c r="F204" s="72"/>
      <c r="G204" s="72"/>
      <c r="H204" s="97"/>
      <c r="I204" s="98"/>
      <c r="J204" s="73">
        <v>20</v>
      </c>
      <c r="K204" s="74"/>
      <c r="L204" s="74"/>
      <c r="M204" s="75">
        <f>ROUND(1*0.82*0.8*2592/1000,3)</f>
        <v>1.7</v>
      </c>
      <c r="N204" s="76"/>
      <c r="O204" s="76"/>
      <c r="P204" s="76"/>
      <c r="Q204" s="101"/>
    </row>
    <row r="205" spans="1:17" s="7" customFormat="1" ht="19.350000000000001" customHeight="1" x14ac:dyDescent="0.25">
      <c r="A205" s="118" t="s">
        <v>195</v>
      </c>
      <c r="B205" s="119"/>
      <c r="C205" s="119"/>
      <c r="D205" s="119"/>
      <c r="E205" s="119"/>
      <c r="F205" s="119"/>
      <c r="G205" s="119"/>
      <c r="H205" s="119"/>
      <c r="I205" s="119"/>
      <c r="J205" s="119"/>
      <c r="K205" s="119"/>
      <c r="L205" s="119"/>
      <c r="M205" s="119"/>
      <c r="N205" s="119"/>
      <c r="O205" s="119"/>
      <c r="P205" s="120"/>
      <c r="Q205" s="6">
        <f>SUM(Q201:Q204)</f>
        <v>76.72</v>
      </c>
    </row>
    <row r="206" spans="1:17" s="7" customFormat="1" ht="19.350000000000001" hidden="1" customHeight="1" x14ac:dyDescent="0.25">
      <c r="A206" s="26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8"/>
      <c r="Q206" s="6"/>
    </row>
    <row r="207" spans="1:17" s="7" customFormat="1" ht="19.350000000000001" hidden="1" customHeight="1" x14ac:dyDescent="0.25">
      <c r="A207" s="26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8"/>
      <c r="Q207" s="6"/>
    </row>
    <row r="208" spans="1:17" s="7" customFormat="1" ht="19.350000000000001" customHeight="1" x14ac:dyDescent="0.25">
      <c r="A208" s="118" t="s">
        <v>31</v>
      </c>
      <c r="B208" s="119"/>
      <c r="C208" s="119"/>
      <c r="D208" s="119"/>
      <c r="E208" s="119"/>
      <c r="F208" s="119"/>
      <c r="G208" s="119"/>
      <c r="H208" s="119"/>
      <c r="I208" s="119"/>
      <c r="J208" s="119"/>
      <c r="K208" s="119"/>
      <c r="L208" s="119"/>
      <c r="M208" s="119"/>
      <c r="N208" s="119"/>
      <c r="O208" s="119"/>
      <c r="P208" s="120"/>
      <c r="Q208" s="6">
        <f>Q205+Q199+Q163+Q137+Q117+Q101+Q95+Q69</f>
        <v>2979.1320000000005</v>
      </c>
    </row>
    <row r="209" spans="1:17" s="7" customFormat="1" ht="34.5" customHeight="1" x14ac:dyDescent="0.25">
      <c r="A209" s="8"/>
      <c r="B209" s="151" t="s">
        <v>29</v>
      </c>
      <c r="C209" s="152"/>
      <c r="D209" s="152"/>
      <c r="E209" s="152"/>
      <c r="F209" s="152"/>
      <c r="G209" s="152"/>
      <c r="H209" s="152"/>
      <c r="I209" s="152"/>
      <c r="J209" s="152"/>
      <c r="K209" s="152"/>
      <c r="L209" s="152"/>
      <c r="M209" s="152"/>
      <c r="N209" s="152"/>
      <c r="O209" s="152"/>
      <c r="P209" s="153"/>
      <c r="Q209" s="9">
        <v>0</v>
      </c>
    </row>
    <row r="210" spans="1:17" s="7" customFormat="1" ht="21" customHeight="1" x14ac:dyDescent="0.25">
      <c r="A210" s="8"/>
      <c r="B210" s="154" t="s">
        <v>16</v>
      </c>
      <c r="C210" s="119"/>
      <c r="D210" s="119"/>
      <c r="E210" s="119"/>
      <c r="F210" s="119"/>
      <c r="G210" s="119"/>
      <c r="H210" s="119"/>
      <c r="I210" s="119"/>
      <c r="J210" s="119"/>
      <c r="K210" s="119"/>
      <c r="L210" s="119"/>
      <c r="M210" s="119"/>
      <c r="N210" s="119"/>
      <c r="O210" s="119"/>
      <c r="P210" s="120"/>
      <c r="Q210" s="9">
        <f>Q208</f>
        <v>2979.1320000000005</v>
      </c>
    </row>
    <row r="211" spans="1:17" s="7" customFormat="1" ht="14.25" customHeight="1" x14ac:dyDescent="0.25">
      <c r="A211" s="10"/>
      <c r="B211" s="11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2"/>
      <c r="Q211" s="13"/>
    </row>
    <row r="212" spans="1:17" ht="15" customHeight="1" x14ac:dyDescent="0.25">
      <c r="A212" s="42" t="s">
        <v>34</v>
      </c>
      <c r="B212" s="42"/>
      <c r="C212" s="42"/>
      <c r="D212" s="42"/>
      <c r="E212" s="155"/>
      <c r="F212" s="155"/>
      <c r="G212" s="155"/>
      <c r="H212" s="155"/>
      <c r="I212" s="155"/>
      <c r="J212" s="155"/>
      <c r="K212" s="155"/>
      <c r="L212" s="155"/>
      <c r="M212" s="155"/>
      <c r="N212" s="155"/>
      <c r="O212" s="42"/>
      <c r="P212" s="42"/>
      <c r="Q212" s="42"/>
    </row>
    <row r="213" spans="1:17" ht="15" customHeight="1" x14ac:dyDescent="0.25">
      <c r="A213" s="31"/>
      <c r="B213" s="31"/>
      <c r="C213" s="31"/>
      <c r="D213" s="3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2"/>
      <c r="P213" s="42"/>
      <c r="Q213" s="42"/>
    </row>
    <row r="214" spans="1:17" ht="15" customHeight="1" x14ac:dyDescent="0.25">
      <c r="A214" s="42"/>
      <c r="B214" s="42"/>
      <c r="C214" s="42"/>
      <c r="D214" s="42"/>
      <c r="E214" s="94" t="s">
        <v>11</v>
      </c>
      <c r="F214" s="94"/>
      <c r="G214" s="94"/>
      <c r="H214" s="94"/>
      <c r="I214" s="94"/>
      <c r="J214" s="94"/>
      <c r="K214" s="94"/>
      <c r="L214" s="94"/>
      <c r="M214" s="94"/>
      <c r="N214" s="94"/>
      <c r="O214" s="42"/>
      <c r="P214" s="42"/>
      <c r="Q214" s="42"/>
    </row>
    <row r="215" spans="1:17" ht="27" customHeight="1" x14ac:dyDescent="0.25">
      <c r="A215" s="42" t="s">
        <v>12</v>
      </c>
      <c r="B215" s="42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2"/>
      <c r="P215" s="42"/>
      <c r="Q215" s="42"/>
    </row>
    <row r="216" spans="1:17" ht="15" customHeight="1" x14ac:dyDescent="0.25">
      <c r="A216" s="42"/>
      <c r="B216" s="42"/>
      <c r="C216" s="94" t="s">
        <v>11</v>
      </c>
      <c r="D216" s="94"/>
      <c r="E216" s="94"/>
      <c r="F216" s="94"/>
      <c r="G216" s="94"/>
      <c r="H216" s="94"/>
      <c r="I216" s="94"/>
      <c r="J216" s="94"/>
      <c r="K216" s="94"/>
      <c r="L216" s="94"/>
      <c r="M216" s="94"/>
      <c r="N216" s="94"/>
      <c r="O216" s="42"/>
      <c r="P216" s="42"/>
      <c r="Q216" s="42"/>
    </row>
  </sheetData>
  <mergeCells count="628">
    <mergeCell ref="A215:B215"/>
    <mergeCell ref="C215:N215"/>
    <mergeCell ref="O215:Q216"/>
    <mergeCell ref="A216:B216"/>
    <mergeCell ref="C216:N216"/>
    <mergeCell ref="A205:P205"/>
    <mergeCell ref="A208:P208"/>
    <mergeCell ref="B209:P209"/>
    <mergeCell ref="B210:P210"/>
    <mergeCell ref="A212:N212"/>
    <mergeCell ref="O212:Q214"/>
    <mergeCell ref="E213:N213"/>
    <mergeCell ref="A214:D214"/>
    <mergeCell ref="E214:N214"/>
    <mergeCell ref="A203:A204"/>
    <mergeCell ref="B203:G203"/>
    <mergeCell ref="H203:I204"/>
    <mergeCell ref="J203:P203"/>
    <mergeCell ref="Q203:Q204"/>
    <mergeCell ref="B204:G204"/>
    <mergeCell ref="J204:L204"/>
    <mergeCell ref="M204:P204"/>
    <mergeCell ref="A200:Q200"/>
    <mergeCell ref="A201:A202"/>
    <mergeCell ref="B201:G201"/>
    <mergeCell ref="H201:I202"/>
    <mergeCell ref="J201:P201"/>
    <mergeCell ref="Q201:Q202"/>
    <mergeCell ref="B202:G202"/>
    <mergeCell ref="J202:L202"/>
    <mergeCell ref="M202:P202"/>
    <mergeCell ref="A199:P199"/>
    <mergeCell ref="A197:A198"/>
    <mergeCell ref="B197:G197"/>
    <mergeCell ref="H197:I198"/>
    <mergeCell ref="J197:P197"/>
    <mergeCell ref="Q197:Q198"/>
    <mergeCell ref="B198:G198"/>
    <mergeCell ref="J198:L198"/>
    <mergeCell ref="M198:P198"/>
    <mergeCell ref="A195:A196"/>
    <mergeCell ref="B195:G195"/>
    <mergeCell ref="H195:I196"/>
    <mergeCell ref="J195:P195"/>
    <mergeCell ref="Q195:Q196"/>
    <mergeCell ref="B196:G196"/>
    <mergeCell ref="J196:L196"/>
    <mergeCell ref="M196:P196"/>
    <mergeCell ref="A193:A194"/>
    <mergeCell ref="B193:G193"/>
    <mergeCell ref="H193:I194"/>
    <mergeCell ref="J193:P193"/>
    <mergeCell ref="Q193:Q194"/>
    <mergeCell ref="B194:G194"/>
    <mergeCell ref="J194:L194"/>
    <mergeCell ref="M194:P194"/>
    <mergeCell ref="A191:A192"/>
    <mergeCell ref="B191:G191"/>
    <mergeCell ref="H191:I192"/>
    <mergeCell ref="J191:P191"/>
    <mergeCell ref="Q191:Q192"/>
    <mergeCell ref="B192:G192"/>
    <mergeCell ref="J192:L192"/>
    <mergeCell ref="M192:P192"/>
    <mergeCell ref="A189:A190"/>
    <mergeCell ref="B189:G189"/>
    <mergeCell ref="H189:I190"/>
    <mergeCell ref="J189:P189"/>
    <mergeCell ref="Q189:Q190"/>
    <mergeCell ref="B190:G190"/>
    <mergeCell ref="J190:L190"/>
    <mergeCell ref="M190:P190"/>
    <mergeCell ref="A187:A188"/>
    <mergeCell ref="B187:G187"/>
    <mergeCell ref="H187:I188"/>
    <mergeCell ref="J187:P187"/>
    <mergeCell ref="Q187:Q188"/>
    <mergeCell ref="B188:G188"/>
    <mergeCell ref="J188:L188"/>
    <mergeCell ref="M188:P188"/>
    <mergeCell ref="A185:A186"/>
    <mergeCell ref="B185:G185"/>
    <mergeCell ref="H185:I186"/>
    <mergeCell ref="J185:P185"/>
    <mergeCell ref="Q185:Q186"/>
    <mergeCell ref="B186:G186"/>
    <mergeCell ref="J186:L186"/>
    <mergeCell ref="M186:P186"/>
    <mergeCell ref="A183:A184"/>
    <mergeCell ref="B183:G183"/>
    <mergeCell ref="H183:I184"/>
    <mergeCell ref="J183:P183"/>
    <mergeCell ref="Q183:Q184"/>
    <mergeCell ref="B184:G184"/>
    <mergeCell ref="J184:L184"/>
    <mergeCell ref="M184:P184"/>
    <mergeCell ref="A181:A182"/>
    <mergeCell ref="B181:G181"/>
    <mergeCell ref="H181:I182"/>
    <mergeCell ref="J181:P181"/>
    <mergeCell ref="Q181:Q182"/>
    <mergeCell ref="B182:G182"/>
    <mergeCell ref="J182:L182"/>
    <mergeCell ref="M182:P182"/>
    <mergeCell ref="A179:A180"/>
    <mergeCell ref="B179:G179"/>
    <mergeCell ref="H179:I180"/>
    <mergeCell ref="J179:P179"/>
    <mergeCell ref="Q179:Q180"/>
    <mergeCell ref="B180:G180"/>
    <mergeCell ref="J180:L180"/>
    <mergeCell ref="M180:P180"/>
    <mergeCell ref="A177:A178"/>
    <mergeCell ref="B177:G177"/>
    <mergeCell ref="H177:I178"/>
    <mergeCell ref="J177:P177"/>
    <mergeCell ref="Q177:Q178"/>
    <mergeCell ref="B178:G178"/>
    <mergeCell ref="J178:L178"/>
    <mergeCell ref="M178:P178"/>
    <mergeCell ref="A175:A176"/>
    <mergeCell ref="B175:G175"/>
    <mergeCell ref="H175:I176"/>
    <mergeCell ref="J175:P175"/>
    <mergeCell ref="Q175:Q176"/>
    <mergeCell ref="B176:G176"/>
    <mergeCell ref="J176:L176"/>
    <mergeCell ref="M176:P176"/>
    <mergeCell ref="A173:A174"/>
    <mergeCell ref="B173:G173"/>
    <mergeCell ref="H173:I174"/>
    <mergeCell ref="J173:P173"/>
    <mergeCell ref="Q173:Q174"/>
    <mergeCell ref="B174:G174"/>
    <mergeCell ref="J174:L174"/>
    <mergeCell ref="M174:P174"/>
    <mergeCell ref="A171:A172"/>
    <mergeCell ref="B171:G171"/>
    <mergeCell ref="H171:I172"/>
    <mergeCell ref="J171:P171"/>
    <mergeCell ref="Q171:Q172"/>
    <mergeCell ref="B172:G172"/>
    <mergeCell ref="J172:L172"/>
    <mergeCell ref="M172:P172"/>
    <mergeCell ref="B169:G169"/>
    <mergeCell ref="H169:I170"/>
    <mergeCell ref="J169:P169"/>
    <mergeCell ref="Q169:Q170"/>
    <mergeCell ref="B170:G170"/>
    <mergeCell ref="J170:L170"/>
    <mergeCell ref="M170:P170"/>
    <mergeCell ref="A167:A168"/>
    <mergeCell ref="B167:G167"/>
    <mergeCell ref="H167:I168"/>
    <mergeCell ref="J167:P167"/>
    <mergeCell ref="Q167:Q168"/>
    <mergeCell ref="B168:G168"/>
    <mergeCell ref="J168:L168"/>
    <mergeCell ref="M168:P168"/>
    <mergeCell ref="A163:P163"/>
    <mergeCell ref="A164:Q164"/>
    <mergeCell ref="A165:A166"/>
    <mergeCell ref="B165:G165"/>
    <mergeCell ref="H165:I166"/>
    <mergeCell ref="J165:P165"/>
    <mergeCell ref="Q165:Q166"/>
    <mergeCell ref="B166:G166"/>
    <mergeCell ref="J166:L166"/>
    <mergeCell ref="M166:P166"/>
    <mergeCell ref="A161:A162"/>
    <mergeCell ref="B161:G161"/>
    <mergeCell ref="H161:I162"/>
    <mergeCell ref="J161:P161"/>
    <mergeCell ref="Q161:Q162"/>
    <mergeCell ref="B162:G162"/>
    <mergeCell ref="J162:L162"/>
    <mergeCell ref="M162:P162"/>
    <mergeCell ref="A159:A160"/>
    <mergeCell ref="B159:G159"/>
    <mergeCell ref="H159:I160"/>
    <mergeCell ref="J159:P159"/>
    <mergeCell ref="Q159:Q160"/>
    <mergeCell ref="B160:G160"/>
    <mergeCell ref="J160:L160"/>
    <mergeCell ref="M160:P160"/>
    <mergeCell ref="A157:A158"/>
    <mergeCell ref="B157:G157"/>
    <mergeCell ref="H157:I158"/>
    <mergeCell ref="J157:P157"/>
    <mergeCell ref="Q157:Q158"/>
    <mergeCell ref="B158:G158"/>
    <mergeCell ref="J158:L158"/>
    <mergeCell ref="M158:P158"/>
    <mergeCell ref="A155:A156"/>
    <mergeCell ref="B155:G155"/>
    <mergeCell ref="H155:I156"/>
    <mergeCell ref="J155:P155"/>
    <mergeCell ref="Q155:Q156"/>
    <mergeCell ref="B156:G156"/>
    <mergeCell ref="J156:L156"/>
    <mergeCell ref="M156:P156"/>
    <mergeCell ref="A153:A154"/>
    <mergeCell ref="B153:G153"/>
    <mergeCell ref="H153:I154"/>
    <mergeCell ref="J153:P153"/>
    <mergeCell ref="Q153:Q154"/>
    <mergeCell ref="B154:G154"/>
    <mergeCell ref="J154:L154"/>
    <mergeCell ref="M154:P154"/>
    <mergeCell ref="A151:A152"/>
    <mergeCell ref="B151:G151"/>
    <mergeCell ref="H151:I152"/>
    <mergeCell ref="J151:P151"/>
    <mergeCell ref="Q151:Q152"/>
    <mergeCell ref="B152:G152"/>
    <mergeCell ref="J152:L152"/>
    <mergeCell ref="M152:P152"/>
    <mergeCell ref="A149:A150"/>
    <mergeCell ref="B149:G149"/>
    <mergeCell ref="H149:I150"/>
    <mergeCell ref="J149:P149"/>
    <mergeCell ref="Q149:Q150"/>
    <mergeCell ref="B150:G150"/>
    <mergeCell ref="J150:L150"/>
    <mergeCell ref="M150:P150"/>
    <mergeCell ref="A147:A148"/>
    <mergeCell ref="B147:G147"/>
    <mergeCell ref="H147:I148"/>
    <mergeCell ref="J147:P147"/>
    <mergeCell ref="Q147:Q148"/>
    <mergeCell ref="B148:G148"/>
    <mergeCell ref="J148:L148"/>
    <mergeCell ref="M148:P148"/>
    <mergeCell ref="A143:A144"/>
    <mergeCell ref="B143:G143"/>
    <mergeCell ref="H143:I144"/>
    <mergeCell ref="J143:P143"/>
    <mergeCell ref="Q143:Q144"/>
    <mergeCell ref="B144:G144"/>
    <mergeCell ref="J144:L144"/>
    <mergeCell ref="M144:P144"/>
    <mergeCell ref="A145:A146"/>
    <mergeCell ref="B145:G145"/>
    <mergeCell ref="H145:I146"/>
    <mergeCell ref="J145:P145"/>
    <mergeCell ref="Q145:Q146"/>
    <mergeCell ref="B146:G146"/>
    <mergeCell ref="J146:L146"/>
    <mergeCell ref="M146:P146"/>
    <mergeCell ref="A141:A142"/>
    <mergeCell ref="B141:G141"/>
    <mergeCell ref="H141:I142"/>
    <mergeCell ref="J141:P141"/>
    <mergeCell ref="Q141:Q142"/>
    <mergeCell ref="B142:G142"/>
    <mergeCell ref="J142:L142"/>
    <mergeCell ref="M142:P142"/>
    <mergeCell ref="A137:P137"/>
    <mergeCell ref="A138:Q138"/>
    <mergeCell ref="A139:A140"/>
    <mergeCell ref="B139:G139"/>
    <mergeCell ref="H139:I140"/>
    <mergeCell ref="J139:P139"/>
    <mergeCell ref="Q139:Q140"/>
    <mergeCell ref="B140:G140"/>
    <mergeCell ref="J140:L140"/>
    <mergeCell ref="M140:P140"/>
    <mergeCell ref="A135:A136"/>
    <mergeCell ref="B135:G135"/>
    <mergeCell ref="H135:I136"/>
    <mergeCell ref="J135:P135"/>
    <mergeCell ref="Q135:Q136"/>
    <mergeCell ref="B136:G136"/>
    <mergeCell ref="J136:L136"/>
    <mergeCell ref="M136:P136"/>
    <mergeCell ref="A133:A134"/>
    <mergeCell ref="B133:G133"/>
    <mergeCell ref="H133:I134"/>
    <mergeCell ref="J133:P133"/>
    <mergeCell ref="Q133:Q134"/>
    <mergeCell ref="B134:G134"/>
    <mergeCell ref="J134:L134"/>
    <mergeCell ref="M134:P134"/>
    <mergeCell ref="A131:A132"/>
    <mergeCell ref="B131:G131"/>
    <mergeCell ref="H131:I132"/>
    <mergeCell ref="J131:P131"/>
    <mergeCell ref="Q131:Q132"/>
    <mergeCell ref="B132:G132"/>
    <mergeCell ref="J132:L132"/>
    <mergeCell ref="M132:P132"/>
    <mergeCell ref="A129:A130"/>
    <mergeCell ref="B129:G129"/>
    <mergeCell ref="H129:I130"/>
    <mergeCell ref="J129:P129"/>
    <mergeCell ref="Q129:Q130"/>
    <mergeCell ref="B130:G130"/>
    <mergeCell ref="J130:L130"/>
    <mergeCell ref="M130:P130"/>
    <mergeCell ref="A127:A128"/>
    <mergeCell ref="B127:G127"/>
    <mergeCell ref="H127:I128"/>
    <mergeCell ref="J127:P127"/>
    <mergeCell ref="Q127:Q128"/>
    <mergeCell ref="B128:G128"/>
    <mergeCell ref="J128:L128"/>
    <mergeCell ref="M128:P128"/>
    <mergeCell ref="A125:A126"/>
    <mergeCell ref="B125:G125"/>
    <mergeCell ref="H125:I126"/>
    <mergeCell ref="J125:P125"/>
    <mergeCell ref="Q125:Q126"/>
    <mergeCell ref="B126:G126"/>
    <mergeCell ref="J126:L126"/>
    <mergeCell ref="M126:P126"/>
    <mergeCell ref="A123:A124"/>
    <mergeCell ref="B123:G123"/>
    <mergeCell ref="H123:I124"/>
    <mergeCell ref="J123:P123"/>
    <mergeCell ref="Q123:Q124"/>
    <mergeCell ref="B124:G124"/>
    <mergeCell ref="J124:L124"/>
    <mergeCell ref="M124:P124"/>
    <mergeCell ref="A121:A122"/>
    <mergeCell ref="B121:G121"/>
    <mergeCell ref="H121:I122"/>
    <mergeCell ref="J121:P121"/>
    <mergeCell ref="Q121:Q122"/>
    <mergeCell ref="B122:G122"/>
    <mergeCell ref="J122:L122"/>
    <mergeCell ref="M122:P122"/>
    <mergeCell ref="A118:Q118"/>
    <mergeCell ref="A119:A120"/>
    <mergeCell ref="B119:G119"/>
    <mergeCell ref="H119:I120"/>
    <mergeCell ref="J119:P119"/>
    <mergeCell ref="Q119:Q120"/>
    <mergeCell ref="B120:G120"/>
    <mergeCell ref="J120:L120"/>
    <mergeCell ref="M120:P120"/>
    <mergeCell ref="A115:A116"/>
    <mergeCell ref="B115:G115"/>
    <mergeCell ref="H115:I116"/>
    <mergeCell ref="J115:P115"/>
    <mergeCell ref="Q115:Q116"/>
    <mergeCell ref="B116:G116"/>
    <mergeCell ref="J116:L116"/>
    <mergeCell ref="M116:P116"/>
    <mergeCell ref="A117:P117"/>
    <mergeCell ref="A113:A114"/>
    <mergeCell ref="B113:G113"/>
    <mergeCell ref="H113:I114"/>
    <mergeCell ref="J113:P113"/>
    <mergeCell ref="Q113:Q114"/>
    <mergeCell ref="B114:G114"/>
    <mergeCell ref="J114:L114"/>
    <mergeCell ref="M114:P114"/>
    <mergeCell ref="A111:A112"/>
    <mergeCell ref="B111:G111"/>
    <mergeCell ref="H111:I112"/>
    <mergeCell ref="J111:P111"/>
    <mergeCell ref="Q111:Q112"/>
    <mergeCell ref="B112:G112"/>
    <mergeCell ref="J112:L112"/>
    <mergeCell ref="M112:P112"/>
    <mergeCell ref="A109:A110"/>
    <mergeCell ref="B109:G109"/>
    <mergeCell ref="H109:I110"/>
    <mergeCell ref="J109:P109"/>
    <mergeCell ref="Q109:Q110"/>
    <mergeCell ref="B110:G110"/>
    <mergeCell ref="J110:L110"/>
    <mergeCell ref="M110:P110"/>
    <mergeCell ref="A107:A108"/>
    <mergeCell ref="B107:G107"/>
    <mergeCell ref="H107:I108"/>
    <mergeCell ref="J107:P107"/>
    <mergeCell ref="Q107:Q108"/>
    <mergeCell ref="B108:G108"/>
    <mergeCell ref="J108:L108"/>
    <mergeCell ref="M108:P108"/>
    <mergeCell ref="A105:A106"/>
    <mergeCell ref="B105:G105"/>
    <mergeCell ref="H105:I106"/>
    <mergeCell ref="J105:P105"/>
    <mergeCell ref="Q105:Q106"/>
    <mergeCell ref="B106:G106"/>
    <mergeCell ref="J106:L106"/>
    <mergeCell ref="M106:P106"/>
    <mergeCell ref="A101:P101"/>
    <mergeCell ref="A102:Q102"/>
    <mergeCell ref="A103:A104"/>
    <mergeCell ref="B103:G103"/>
    <mergeCell ref="H103:I104"/>
    <mergeCell ref="J103:P103"/>
    <mergeCell ref="Q103:Q104"/>
    <mergeCell ref="B104:G104"/>
    <mergeCell ref="J104:L104"/>
    <mergeCell ref="M104:P104"/>
    <mergeCell ref="A99:A100"/>
    <mergeCell ref="B99:G99"/>
    <mergeCell ref="H99:I100"/>
    <mergeCell ref="J99:P99"/>
    <mergeCell ref="Q99:Q100"/>
    <mergeCell ref="B100:G100"/>
    <mergeCell ref="J100:L100"/>
    <mergeCell ref="M100:P100"/>
    <mergeCell ref="A95:P95"/>
    <mergeCell ref="A96:Q96"/>
    <mergeCell ref="A97:A98"/>
    <mergeCell ref="B97:G97"/>
    <mergeCell ref="H97:I98"/>
    <mergeCell ref="J97:P97"/>
    <mergeCell ref="Q97:Q98"/>
    <mergeCell ref="B98:G98"/>
    <mergeCell ref="J98:L98"/>
    <mergeCell ref="M98:P98"/>
    <mergeCell ref="A93:A94"/>
    <mergeCell ref="B93:G93"/>
    <mergeCell ref="H93:I94"/>
    <mergeCell ref="J93:P93"/>
    <mergeCell ref="Q93:Q94"/>
    <mergeCell ref="B94:G94"/>
    <mergeCell ref="J94:L94"/>
    <mergeCell ref="M94:P94"/>
    <mergeCell ref="A90:Q90"/>
    <mergeCell ref="A91:A92"/>
    <mergeCell ref="B91:G91"/>
    <mergeCell ref="H91:I92"/>
    <mergeCell ref="J91:P91"/>
    <mergeCell ref="Q91:Q92"/>
    <mergeCell ref="B92:G92"/>
    <mergeCell ref="J92:L92"/>
    <mergeCell ref="M92:P92"/>
    <mergeCell ref="A88:A89"/>
    <mergeCell ref="B88:G88"/>
    <mergeCell ref="H88:I89"/>
    <mergeCell ref="J88:P88"/>
    <mergeCell ref="Q88:Q89"/>
    <mergeCell ref="B89:G89"/>
    <mergeCell ref="J89:L89"/>
    <mergeCell ref="M89:P89"/>
    <mergeCell ref="A86:A87"/>
    <mergeCell ref="B86:G86"/>
    <mergeCell ref="H86:I87"/>
    <mergeCell ref="J86:P86"/>
    <mergeCell ref="Q86:Q87"/>
    <mergeCell ref="B87:G87"/>
    <mergeCell ref="J87:L87"/>
    <mergeCell ref="M87:P87"/>
    <mergeCell ref="A84:A85"/>
    <mergeCell ref="B84:G84"/>
    <mergeCell ref="H84:I85"/>
    <mergeCell ref="J84:P84"/>
    <mergeCell ref="Q84:Q85"/>
    <mergeCell ref="B85:G85"/>
    <mergeCell ref="J85:L85"/>
    <mergeCell ref="M85:P85"/>
    <mergeCell ref="A82:A83"/>
    <mergeCell ref="B82:G82"/>
    <mergeCell ref="H82:I83"/>
    <mergeCell ref="J82:P82"/>
    <mergeCell ref="Q82:Q83"/>
    <mergeCell ref="B83:G83"/>
    <mergeCell ref="J83:L83"/>
    <mergeCell ref="M83:P83"/>
    <mergeCell ref="A80:A81"/>
    <mergeCell ref="B80:G80"/>
    <mergeCell ref="H80:I81"/>
    <mergeCell ref="J80:P80"/>
    <mergeCell ref="Q80:Q81"/>
    <mergeCell ref="B81:G81"/>
    <mergeCell ref="J81:L81"/>
    <mergeCell ref="M81:P81"/>
    <mergeCell ref="A78:A79"/>
    <mergeCell ref="B78:G78"/>
    <mergeCell ref="H78:I79"/>
    <mergeCell ref="J78:P78"/>
    <mergeCell ref="Q78:Q79"/>
    <mergeCell ref="B79:G79"/>
    <mergeCell ref="J79:L79"/>
    <mergeCell ref="M79:P79"/>
    <mergeCell ref="A76:A77"/>
    <mergeCell ref="B76:G76"/>
    <mergeCell ref="H76:I77"/>
    <mergeCell ref="J76:P76"/>
    <mergeCell ref="Q76:Q77"/>
    <mergeCell ref="B77:G77"/>
    <mergeCell ref="J77:L77"/>
    <mergeCell ref="M77:P77"/>
    <mergeCell ref="A74:A75"/>
    <mergeCell ref="B74:G74"/>
    <mergeCell ref="H74:I75"/>
    <mergeCell ref="J74:P74"/>
    <mergeCell ref="Q74:Q75"/>
    <mergeCell ref="B75:G75"/>
    <mergeCell ref="J75:L75"/>
    <mergeCell ref="M75:P75"/>
    <mergeCell ref="A69:P69"/>
    <mergeCell ref="A70:Q70"/>
    <mergeCell ref="B68:G68"/>
    <mergeCell ref="J68:L68"/>
    <mergeCell ref="M68:P68"/>
    <mergeCell ref="A71:Q71"/>
    <mergeCell ref="A72:A73"/>
    <mergeCell ref="B72:G72"/>
    <mergeCell ref="H72:I73"/>
    <mergeCell ref="J72:P72"/>
    <mergeCell ref="Q72:Q73"/>
    <mergeCell ref="B73:G73"/>
    <mergeCell ref="J73:L73"/>
    <mergeCell ref="M73:P73"/>
    <mergeCell ref="B62:Q62"/>
    <mergeCell ref="B63:Q63"/>
    <mergeCell ref="B64:Q64"/>
    <mergeCell ref="B65:Q65"/>
    <mergeCell ref="B66:Q66"/>
    <mergeCell ref="A67:A68"/>
    <mergeCell ref="B67:G67"/>
    <mergeCell ref="H67:I68"/>
    <mergeCell ref="J67:P67"/>
    <mergeCell ref="Q67:Q68"/>
    <mergeCell ref="J57:L57"/>
    <mergeCell ref="M57:P57"/>
    <mergeCell ref="A58:Q58"/>
    <mergeCell ref="B59:Q59"/>
    <mergeCell ref="B60:Q60"/>
    <mergeCell ref="B61:Q61"/>
    <mergeCell ref="Q54:Q55"/>
    <mergeCell ref="B55:G55"/>
    <mergeCell ref="J55:L55"/>
    <mergeCell ref="M55:P55"/>
    <mergeCell ref="A56:A57"/>
    <mergeCell ref="B56:G56"/>
    <mergeCell ref="H56:I57"/>
    <mergeCell ref="J56:P56"/>
    <mergeCell ref="Q56:Q57"/>
    <mergeCell ref="B57:G57"/>
    <mergeCell ref="J53:L53"/>
    <mergeCell ref="M53:P53"/>
    <mergeCell ref="A54:A55"/>
    <mergeCell ref="B54:G54"/>
    <mergeCell ref="H54:I55"/>
    <mergeCell ref="J54:P54"/>
    <mergeCell ref="Q50:Q51"/>
    <mergeCell ref="B51:G51"/>
    <mergeCell ref="J51:L51"/>
    <mergeCell ref="M51:P51"/>
    <mergeCell ref="A52:A53"/>
    <mergeCell ref="B52:G52"/>
    <mergeCell ref="H52:I53"/>
    <mergeCell ref="J52:P52"/>
    <mergeCell ref="Q52:Q53"/>
    <mergeCell ref="B53:G53"/>
    <mergeCell ref="J49:L49"/>
    <mergeCell ref="M49:P49"/>
    <mergeCell ref="A50:A51"/>
    <mergeCell ref="B50:G50"/>
    <mergeCell ref="H50:I51"/>
    <mergeCell ref="J50:P50"/>
    <mergeCell ref="Q46:Q47"/>
    <mergeCell ref="B47:G47"/>
    <mergeCell ref="J47:L47"/>
    <mergeCell ref="M47:P47"/>
    <mergeCell ref="A48:A49"/>
    <mergeCell ref="B48:G48"/>
    <mergeCell ref="H48:I49"/>
    <mergeCell ref="J48:P48"/>
    <mergeCell ref="Q48:Q49"/>
    <mergeCell ref="B49:G49"/>
    <mergeCell ref="J45:L45"/>
    <mergeCell ref="M45:P45"/>
    <mergeCell ref="A46:A47"/>
    <mergeCell ref="B46:G46"/>
    <mergeCell ref="H46:I47"/>
    <mergeCell ref="J46:P46"/>
    <mergeCell ref="Q42:Q43"/>
    <mergeCell ref="B43:G43"/>
    <mergeCell ref="J43:L43"/>
    <mergeCell ref="M43:P43"/>
    <mergeCell ref="A44:A45"/>
    <mergeCell ref="B44:G44"/>
    <mergeCell ref="H44:I45"/>
    <mergeCell ref="J44:P44"/>
    <mergeCell ref="Q44:Q45"/>
    <mergeCell ref="B45:G45"/>
    <mergeCell ref="B41:G41"/>
    <mergeCell ref="J41:L41"/>
    <mergeCell ref="M41:P41"/>
    <mergeCell ref="A42:A43"/>
    <mergeCell ref="B42:G42"/>
    <mergeCell ref="H42:I43"/>
    <mergeCell ref="J42:P42"/>
    <mergeCell ref="B37:G37"/>
    <mergeCell ref="H37:I37"/>
    <mergeCell ref="J37:P37"/>
    <mergeCell ref="A38:Q38"/>
    <mergeCell ref="A39:Q39"/>
    <mergeCell ref="A40:A41"/>
    <mergeCell ref="B40:G40"/>
    <mergeCell ref="H40:I41"/>
    <mergeCell ref="J40:P40"/>
    <mergeCell ref="Q40:Q41"/>
    <mergeCell ref="A32:C32"/>
    <mergeCell ref="A35:A36"/>
    <mergeCell ref="B35:G36"/>
    <mergeCell ref="H35:I36"/>
    <mergeCell ref="J35:P35"/>
    <mergeCell ref="Q35:Q36"/>
    <mergeCell ref="J36:P36"/>
    <mergeCell ref="A25:Q25"/>
    <mergeCell ref="A27:Q27"/>
    <mergeCell ref="A28:Q28"/>
    <mergeCell ref="A29:Q29"/>
    <mergeCell ref="A30:Q30"/>
    <mergeCell ref="A31:Q31"/>
    <mergeCell ref="N20:O20"/>
    <mergeCell ref="A21:F21"/>
    <mergeCell ref="G21:O21"/>
    <mergeCell ref="P21:Q22"/>
    <mergeCell ref="A23:Q23"/>
    <mergeCell ref="A24:Q24"/>
    <mergeCell ref="C14:E14"/>
    <mergeCell ref="G15:H15"/>
    <mergeCell ref="A17:J17"/>
    <mergeCell ref="A20:F20"/>
    <mergeCell ref="G20:K20"/>
    <mergeCell ref="L20:M20"/>
  </mergeCells>
  <pageMargins left="0.47" right="0.24" top="0.36" bottom="0.28000000000000003" header="0.2" footer="0.14000000000000001"/>
  <pageSetup paperSize="9" scale="9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/>
  </sheetViews>
  <sheetFormatPr defaultColWidth="8.85546875" defaultRowHeight="15" x14ac:dyDescent="0.25"/>
  <cols>
    <col min="1" max="1" width="9.140625" customWidth="1"/>
    <col min="7" max="7" width="146.42578125" customWidth="1"/>
  </cols>
  <sheetData>
    <row r="1" spans="1:7" x14ac:dyDescent="0.25">
      <c r="A1" t="s">
        <v>0</v>
      </c>
      <c r="G1" s="1"/>
    </row>
    <row r="2" spans="1:7" x14ac:dyDescent="0.25">
      <c r="A2" t="e">
        <f>#REF!</f>
        <v>#REF!</v>
      </c>
      <c r="B2">
        <v>1</v>
      </c>
      <c r="C2">
        <v>0</v>
      </c>
      <c r="D2">
        <v>0</v>
      </c>
      <c r="E2">
        <v>0</v>
      </c>
      <c r="F2">
        <v>1000</v>
      </c>
    </row>
    <row r="3" spans="1:7" x14ac:dyDescent="0.25">
      <c r="A3" t="e">
        <f>#REF!</f>
        <v>#REF!</v>
      </c>
      <c r="B3">
        <v>1</v>
      </c>
      <c r="C3">
        <v>1</v>
      </c>
      <c r="D3">
        <v>0</v>
      </c>
      <c r="E3">
        <v>0</v>
      </c>
      <c r="F3">
        <v>1001</v>
      </c>
    </row>
    <row r="4" spans="1:7" x14ac:dyDescent="0.25">
      <c r="A4" t="e">
        <f>#REF!</f>
        <v>#REF!</v>
      </c>
      <c r="B4">
        <v>1</v>
      </c>
      <c r="C4">
        <v>1</v>
      </c>
      <c r="D4">
        <v>1</v>
      </c>
      <c r="E4">
        <v>0</v>
      </c>
      <c r="F4">
        <v>1001</v>
      </c>
    </row>
    <row r="5" spans="1:7" x14ac:dyDescent="0.25">
      <c r="A5" s="2" t="e">
        <f>#REF!</f>
        <v>#REF!</v>
      </c>
      <c r="B5">
        <v>1</v>
      </c>
      <c r="C5">
        <v>1</v>
      </c>
      <c r="D5">
        <v>3</v>
      </c>
      <c r="E5">
        <v>0</v>
      </c>
      <c r="F5">
        <v>1001</v>
      </c>
    </row>
    <row r="6" spans="1:7" x14ac:dyDescent="0.25">
      <c r="A6" t="e">
        <f>#REF!</f>
        <v>#REF!</v>
      </c>
      <c r="B6">
        <v>1</v>
      </c>
      <c r="C6">
        <v>1</v>
      </c>
      <c r="D6">
        <v>5</v>
      </c>
      <c r="E6">
        <v>0</v>
      </c>
      <c r="F6">
        <v>1001</v>
      </c>
    </row>
    <row r="7" spans="1:7" x14ac:dyDescent="0.25">
      <c r="A7" t="e">
        <f>#REF!</f>
        <v>#REF!</v>
      </c>
      <c r="B7">
        <v>1</v>
      </c>
      <c r="C7">
        <v>2</v>
      </c>
      <c r="D7">
        <v>0</v>
      </c>
      <c r="E7">
        <v>0</v>
      </c>
      <c r="F7">
        <v>1007</v>
      </c>
    </row>
    <row r="8" spans="1:7" x14ac:dyDescent="0.25">
      <c r="A8" t="e">
        <f>#REF!</f>
        <v>#REF!</v>
      </c>
      <c r="B8">
        <v>1</v>
      </c>
      <c r="C8">
        <v>3</v>
      </c>
      <c r="D8">
        <v>0</v>
      </c>
      <c r="E8">
        <v>0</v>
      </c>
      <c r="F8">
        <v>1002</v>
      </c>
    </row>
    <row r="9" spans="1:7" x14ac:dyDescent="0.25">
      <c r="A9" t="e">
        <f>#REF!</f>
        <v>#REF!</v>
      </c>
      <c r="B9">
        <v>1</v>
      </c>
      <c r="C9">
        <v>3</v>
      </c>
      <c r="D9">
        <v>1</v>
      </c>
      <c r="E9">
        <v>0</v>
      </c>
      <c r="F9">
        <v>1002</v>
      </c>
    </row>
    <row r="10" spans="1:7" x14ac:dyDescent="0.25">
      <c r="A10" t="e">
        <f>#REF!</f>
        <v>#REF!</v>
      </c>
      <c r="B10">
        <v>1</v>
      </c>
      <c r="C10">
        <v>3</v>
      </c>
      <c r="D10">
        <v>2</v>
      </c>
      <c r="E10">
        <v>0</v>
      </c>
      <c r="F10">
        <v>1002</v>
      </c>
    </row>
    <row r="11" spans="1:7" x14ac:dyDescent="0.25">
      <c r="A11" t="e">
        <f>#REF!</f>
        <v>#REF!</v>
      </c>
      <c r="B11">
        <v>1</v>
      </c>
      <c r="C11">
        <v>4</v>
      </c>
      <c r="D11">
        <v>0</v>
      </c>
      <c r="E11">
        <v>0</v>
      </c>
      <c r="F11">
        <v>1007</v>
      </c>
    </row>
    <row r="12" spans="1:7" x14ac:dyDescent="0.25">
      <c r="A12" t="e">
        <f>#REF!</f>
        <v>#REF!</v>
      </c>
      <c r="B12">
        <v>1</v>
      </c>
      <c r="C12">
        <v>5</v>
      </c>
      <c r="D12">
        <v>0</v>
      </c>
      <c r="E12">
        <v>0</v>
      </c>
      <c r="F12">
        <v>1003</v>
      </c>
    </row>
    <row r="13" spans="1:7" x14ac:dyDescent="0.25">
      <c r="A13" t="e">
        <f>#REF!</f>
        <v>#REF!</v>
      </c>
      <c r="B13">
        <v>1</v>
      </c>
      <c r="C13">
        <v>5</v>
      </c>
      <c r="D13">
        <v>1</v>
      </c>
      <c r="E13">
        <v>0</v>
      </c>
      <c r="F13">
        <v>1003</v>
      </c>
    </row>
    <row r="14" spans="1:7" x14ac:dyDescent="0.25">
      <c r="A14" t="e">
        <f>#REF!</f>
        <v>#REF!</v>
      </c>
      <c r="B14">
        <v>1</v>
      </c>
      <c r="C14">
        <v>5</v>
      </c>
      <c r="D14">
        <v>2</v>
      </c>
      <c r="E14">
        <v>0</v>
      </c>
      <c r="F14">
        <v>1003</v>
      </c>
    </row>
    <row r="15" spans="1:7" x14ac:dyDescent="0.25">
      <c r="A15" t="e">
        <f>#REF!</f>
        <v>#REF!</v>
      </c>
      <c r="B15">
        <v>1</v>
      </c>
      <c r="C15">
        <v>6</v>
      </c>
      <c r="D15">
        <v>0</v>
      </c>
      <c r="E15">
        <v>0</v>
      </c>
      <c r="F15">
        <v>1004</v>
      </c>
    </row>
    <row r="16" spans="1:7" x14ac:dyDescent="0.25">
      <c r="A16" t="e">
        <f>#REF!</f>
        <v>#REF!</v>
      </c>
      <c r="B16">
        <v>1</v>
      </c>
      <c r="C16">
        <v>6</v>
      </c>
      <c r="D16">
        <v>1</v>
      </c>
      <c r="E16">
        <v>0</v>
      </c>
      <c r="F16">
        <v>1004</v>
      </c>
    </row>
    <row r="17" spans="1:6" x14ac:dyDescent="0.25">
      <c r="A17" t="e">
        <f>#REF!</f>
        <v>#REF!</v>
      </c>
      <c r="B17">
        <v>1</v>
      </c>
      <c r="C17">
        <v>7</v>
      </c>
      <c r="D17">
        <v>0</v>
      </c>
      <c r="E17">
        <v>0</v>
      </c>
      <c r="F17">
        <v>1005</v>
      </c>
    </row>
    <row r="18" spans="1:6" x14ac:dyDescent="0.25">
      <c r="A18" t="e">
        <f>#REF!</f>
        <v>#REF!</v>
      </c>
      <c r="B18">
        <v>1</v>
      </c>
      <c r="C18">
        <v>7</v>
      </c>
      <c r="D18">
        <v>1</v>
      </c>
      <c r="E18">
        <v>0</v>
      </c>
      <c r="F18">
        <v>1005</v>
      </c>
    </row>
    <row r="19" spans="1:6" x14ac:dyDescent="0.25">
      <c r="A19" t="e">
        <f>#REF!</f>
        <v>#REF!</v>
      </c>
      <c r="B19">
        <v>1</v>
      </c>
      <c r="C19">
        <v>8</v>
      </c>
      <c r="D19">
        <v>0</v>
      </c>
      <c r="E19">
        <v>0</v>
      </c>
      <c r="F19">
        <v>1006</v>
      </c>
    </row>
    <row r="20" spans="1:6" x14ac:dyDescent="0.25">
      <c r="A20" t="e">
        <f>#REF!</f>
        <v>#REF!</v>
      </c>
      <c r="B20">
        <v>1</v>
      </c>
      <c r="C20">
        <v>9</v>
      </c>
      <c r="D20">
        <v>0</v>
      </c>
      <c r="E20">
        <v>0</v>
      </c>
      <c r="F20">
        <v>3000</v>
      </c>
    </row>
    <row r="21" spans="1:6" x14ac:dyDescent="0.25">
      <c r="A21" t="e">
        <f>#REF!</f>
        <v>#REF!</v>
      </c>
      <c r="B21">
        <v>1</v>
      </c>
      <c r="C21">
        <v>9</v>
      </c>
      <c r="D21">
        <v>2</v>
      </c>
      <c r="E21">
        <v>0</v>
      </c>
      <c r="F21">
        <v>3000</v>
      </c>
    </row>
    <row r="22" spans="1:6" x14ac:dyDescent="0.25">
      <c r="A22" t="e">
        <f>#REF!</f>
        <v>#REF!</v>
      </c>
      <c r="B22">
        <v>1</v>
      </c>
      <c r="C22">
        <v>9</v>
      </c>
      <c r="D22">
        <v>3</v>
      </c>
      <c r="E22">
        <v>0</v>
      </c>
      <c r="F22">
        <v>3000</v>
      </c>
    </row>
    <row r="23" spans="1:6" x14ac:dyDescent="0.25">
      <c r="A23" t="e">
        <f>#REF!</f>
        <v>#REF!</v>
      </c>
      <c r="B23">
        <v>1</v>
      </c>
      <c r="C23">
        <v>9</v>
      </c>
      <c r="D23">
        <v>4</v>
      </c>
      <c r="E23">
        <v>0</v>
      </c>
      <c r="F23">
        <v>3000</v>
      </c>
    </row>
    <row r="24" spans="1:6" x14ac:dyDescent="0.25">
      <c r="A24" t="e">
        <f>#REF!</f>
        <v>#REF!</v>
      </c>
      <c r="B24">
        <v>1</v>
      </c>
      <c r="C24">
        <v>9</v>
      </c>
      <c r="D24">
        <v>5</v>
      </c>
      <c r="E24">
        <v>0</v>
      </c>
      <c r="F24">
        <v>3000</v>
      </c>
    </row>
    <row r="25" spans="1:6" x14ac:dyDescent="0.25">
      <c r="A25" t="e">
        <f>#REF!</f>
        <v>#REF!</v>
      </c>
      <c r="B25">
        <v>1</v>
      </c>
      <c r="C25">
        <v>9</v>
      </c>
      <c r="D25">
        <v>6</v>
      </c>
      <c r="E25">
        <v>0</v>
      </c>
      <c r="F25">
        <v>3000</v>
      </c>
    </row>
    <row r="26" spans="1:6" x14ac:dyDescent="0.25">
      <c r="A26" t="e">
        <f>#REF!</f>
        <v>#REF!</v>
      </c>
      <c r="B26">
        <v>1</v>
      </c>
      <c r="C26">
        <v>17</v>
      </c>
      <c r="D26">
        <v>1</v>
      </c>
      <c r="E26">
        <v>0</v>
      </c>
      <c r="F26">
        <v>3002</v>
      </c>
    </row>
    <row r="27" spans="1:6" x14ac:dyDescent="0.25">
      <c r="A27" t="e">
        <f>#REF!</f>
        <v>#REF!</v>
      </c>
      <c r="B27">
        <v>1</v>
      </c>
      <c r="C27">
        <v>17</v>
      </c>
      <c r="D27">
        <v>2</v>
      </c>
      <c r="E27">
        <v>0</v>
      </c>
      <c r="F27">
        <v>3002</v>
      </c>
    </row>
    <row r="28" spans="1:6" x14ac:dyDescent="0.25">
      <c r="A28" s="4" t="e">
        <f>#REF!</f>
        <v>#REF!</v>
      </c>
      <c r="B28">
        <v>1</v>
      </c>
      <c r="C28">
        <v>17</v>
      </c>
      <c r="D28">
        <v>11</v>
      </c>
      <c r="E28">
        <v>0</v>
      </c>
      <c r="F28">
        <v>3002</v>
      </c>
    </row>
    <row r="29" spans="1:6" x14ac:dyDescent="0.25">
      <c r="A29" t="e">
        <f>#REF!</f>
        <v>#REF!</v>
      </c>
      <c r="B29">
        <v>1</v>
      </c>
      <c r="C29">
        <v>17</v>
      </c>
      <c r="D29">
        <v>7</v>
      </c>
      <c r="E29">
        <v>0</v>
      </c>
      <c r="F29">
        <v>3002</v>
      </c>
    </row>
    <row r="30" spans="1:6" x14ac:dyDescent="0.25">
      <c r="A30" t="e">
        <f>#REF!</f>
        <v>#REF!</v>
      </c>
      <c r="B30">
        <v>1</v>
      </c>
      <c r="C30">
        <v>12</v>
      </c>
      <c r="D30">
        <v>2</v>
      </c>
      <c r="E30">
        <v>0</v>
      </c>
      <c r="F30">
        <v>3003</v>
      </c>
    </row>
    <row r="31" spans="1:6" x14ac:dyDescent="0.25">
      <c r="A31" t="e">
        <f>#REF!</f>
        <v>#REF!</v>
      </c>
      <c r="B31">
        <v>1</v>
      </c>
      <c r="C31">
        <v>14</v>
      </c>
      <c r="D31">
        <v>0</v>
      </c>
      <c r="E31">
        <v>0</v>
      </c>
      <c r="F31">
        <v>3001</v>
      </c>
    </row>
    <row r="32" spans="1:6" x14ac:dyDescent="0.25">
      <c r="A32" t="e">
        <f>#REF!</f>
        <v>#REF!</v>
      </c>
      <c r="B32">
        <v>1</v>
      </c>
      <c r="C32">
        <v>14</v>
      </c>
      <c r="D32">
        <v>1</v>
      </c>
      <c r="E32">
        <v>0</v>
      </c>
      <c r="F32">
        <v>3001</v>
      </c>
    </row>
    <row r="33" spans="1:6" x14ac:dyDescent="0.25">
      <c r="A33" t="e">
        <f>#REF!</f>
        <v>#REF!</v>
      </c>
      <c r="B33">
        <v>1</v>
      </c>
      <c r="C33">
        <v>14</v>
      </c>
      <c r="D33">
        <v>3</v>
      </c>
      <c r="E33">
        <v>0</v>
      </c>
      <c r="F33">
        <v>3001</v>
      </c>
    </row>
    <row r="34" spans="1:6" x14ac:dyDescent="0.25">
      <c r="A34" t="e">
        <f>#REF!</f>
        <v>#REF!</v>
      </c>
      <c r="B34">
        <v>1</v>
      </c>
      <c r="C34">
        <v>15</v>
      </c>
      <c r="D34">
        <v>0</v>
      </c>
      <c r="E34">
        <v>0</v>
      </c>
      <c r="F34">
        <v>3002</v>
      </c>
    </row>
    <row r="35" spans="1:6" x14ac:dyDescent="0.25">
      <c r="A35" t="e">
        <f>#REF!</f>
        <v>#REF!</v>
      </c>
      <c r="B35">
        <v>1</v>
      </c>
      <c r="C35">
        <v>15</v>
      </c>
      <c r="D35">
        <v>1</v>
      </c>
      <c r="E35">
        <v>0</v>
      </c>
      <c r="F35">
        <v>3002</v>
      </c>
    </row>
    <row r="36" spans="1:6" x14ac:dyDescent="0.25">
      <c r="A36" t="e">
        <f>#REF!</f>
        <v>#REF!</v>
      </c>
      <c r="B36">
        <v>1</v>
      </c>
      <c r="C36">
        <v>15</v>
      </c>
      <c r="D36">
        <v>3</v>
      </c>
      <c r="E36">
        <v>0</v>
      </c>
      <c r="F36">
        <v>3002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2п (2)</vt:lpstr>
      <vt:lpstr>SMW_Служебная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Bobos</dc:creator>
  <cp:lastModifiedBy>Роотси Елена Вениаминовна</cp:lastModifiedBy>
  <cp:lastPrinted>2015-07-23T06:24:05Z</cp:lastPrinted>
  <dcterms:created xsi:type="dcterms:W3CDTF">2013-07-14T08:36:19Z</dcterms:created>
  <dcterms:modified xsi:type="dcterms:W3CDTF">2016-09-28T13:28:09Z</dcterms:modified>
</cp:coreProperties>
</file>